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NACE User\Desktop\new web copy\Chap Leaders\"/>
    </mc:Choice>
  </mc:AlternateContent>
  <xr:revisionPtr revIDLastSave="0" documentId="8_{E46C9017-F45F-4AB6-8EF6-208546D70D24}" xr6:coauthVersionLast="38" xr6:coauthVersionMax="38" xr10:uidLastSave="{00000000-0000-0000-0000-000000000000}"/>
  <bookViews>
    <workbookView xWindow="0" yWindow="0" windowWidth="14400" windowHeight="7058" activeTab="7" xr2:uid="{00000000-000D-0000-FFFF-FFFF00000000}"/>
  </bookViews>
  <sheets>
    <sheet name="2016" sheetId="1" r:id="rId1"/>
    <sheet name="December Analysis" sheetId="14" r:id="rId2"/>
    <sheet name="November Analysis" sheetId="13" r:id="rId3"/>
    <sheet name="Sheet1" sheetId="5" r:id="rId4"/>
    <sheet name="October Analysis" sheetId="12" r:id="rId5"/>
    <sheet name="September Analysis" sheetId="11" r:id="rId6"/>
    <sheet name="August Analysis" sheetId="10" r:id="rId7"/>
    <sheet name="7- July Analysis" sheetId="9" r:id="rId8"/>
    <sheet name="6- June Analysis" sheetId="8" r:id="rId9"/>
    <sheet name="5- May Analysis" sheetId="7" r:id="rId10"/>
    <sheet name="Sheet2" sheetId="15" r:id="rId11"/>
    <sheet name="4- April Analysis" sheetId="6" r:id="rId12"/>
    <sheet name="3-March Analysis" sheetId="4" r:id="rId13"/>
    <sheet name="2-February Analysis" sheetId="3" r:id="rId14"/>
    <sheet name="1-January Analysis" sheetId="2" r:id="rId1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8" i="1"/>
  <c r="R38" i="1" s="1"/>
  <c r="F78" i="1"/>
  <c r="E69" i="1"/>
  <c r="E18" i="1"/>
  <c r="E17" i="1"/>
  <c r="Q17" i="1" s="1"/>
  <c r="R17" i="1" s="1"/>
  <c r="E16" i="1"/>
  <c r="P70" i="1"/>
  <c r="P69" i="1"/>
  <c r="G18" i="14"/>
  <c r="H8" i="14"/>
  <c r="H27" i="14"/>
  <c r="H31" i="14" s="1"/>
  <c r="H34" i="14" s="1"/>
  <c r="H16" i="14"/>
  <c r="H15" i="14"/>
  <c r="H12" i="14"/>
  <c r="H18" i="14" s="1"/>
  <c r="H22" i="14" s="1"/>
  <c r="H24" i="14" s="1"/>
  <c r="H33" i="14" s="1"/>
  <c r="H36" i="14" s="1"/>
  <c r="H6" i="14"/>
  <c r="O34" i="1"/>
  <c r="O52" i="1" s="1"/>
  <c r="H8" i="13"/>
  <c r="H18" i="13" s="1"/>
  <c r="H22" i="13" s="1"/>
  <c r="H24" i="13" s="1"/>
  <c r="H33" i="13" s="1"/>
  <c r="H6" i="13"/>
  <c r="H27" i="13"/>
  <c r="H31" i="13" s="1"/>
  <c r="H34" i="13" s="1"/>
  <c r="G18" i="13"/>
  <c r="H16" i="13"/>
  <c r="H15" i="13"/>
  <c r="H12" i="13"/>
  <c r="O69" i="1"/>
  <c r="O79" i="1"/>
  <c r="O18" i="1"/>
  <c r="O17" i="1"/>
  <c r="O16" i="1"/>
  <c r="O15" i="1"/>
  <c r="N22" i="1"/>
  <c r="Q22" i="1" s="1"/>
  <c r="R22" i="1" s="1"/>
  <c r="G9" i="12"/>
  <c r="G20" i="12" s="1"/>
  <c r="G10" i="12"/>
  <c r="H10" i="12" s="1"/>
  <c r="H6" i="12"/>
  <c r="H7" i="12"/>
  <c r="H9" i="12"/>
  <c r="G8" i="12"/>
  <c r="H8" i="12" s="1"/>
  <c r="H33" i="12"/>
  <c r="H34" i="12" s="1"/>
  <c r="H37" i="12" s="1"/>
  <c r="N23" i="1"/>
  <c r="H18" i="12"/>
  <c r="H17" i="12"/>
  <c r="H14" i="12"/>
  <c r="N18" i="1"/>
  <c r="N39" i="1"/>
  <c r="Q39" i="1" s="1"/>
  <c r="R39" i="1" s="1"/>
  <c r="N78" i="1"/>
  <c r="N69" i="1"/>
  <c r="N37" i="1"/>
  <c r="Q37" i="1" s="1"/>
  <c r="R37" i="1" s="1"/>
  <c r="N79" i="1"/>
  <c r="N42" i="1"/>
  <c r="N52" i="1" s="1"/>
  <c r="N74" i="1" s="1"/>
  <c r="N43" i="1"/>
  <c r="H6" i="11"/>
  <c r="H18" i="11" s="1"/>
  <c r="H22" i="11" s="1"/>
  <c r="H24" i="11" s="1"/>
  <c r="H33" i="11" s="1"/>
  <c r="M15" i="1"/>
  <c r="M30" i="1" s="1"/>
  <c r="M72" i="1" s="1"/>
  <c r="H27" i="11"/>
  <c r="H31" i="11" s="1"/>
  <c r="H34" i="11" s="1"/>
  <c r="H7" i="11"/>
  <c r="M18" i="1"/>
  <c r="M69" i="1"/>
  <c r="M79" i="1"/>
  <c r="M78" i="1"/>
  <c r="M34" i="1"/>
  <c r="M52" i="1" s="1"/>
  <c r="M55" i="1"/>
  <c r="M65" i="1"/>
  <c r="M16" i="1"/>
  <c r="M17" i="1"/>
  <c r="L15" i="1"/>
  <c r="M10" i="1"/>
  <c r="M9" i="1"/>
  <c r="H12" i="11"/>
  <c r="H15" i="11"/>
  <c r="H16" i="11"/>
  <c r="G18" i="11"/>
  <c r="H27" i="10"/>
  <c r="H31" i="10" s="1"/>
  <c r="H34" i="10" s="1"/>
  <c r="H6" i="10"/>
  <c r="H18" i="10" s="1"/>
  <c r="H22" i="10" s="1"/>
  <c r="H24" i="10" s="1"/>
  <c r="H33" i="10" s="1"/>
  <c r="H8" i="10"/>
  <c r="H12" i="10"/>
  <c r="H15" i="10"/>
  <c r="H16" i="10"/>
  <c r="G18" i="10"/>
  <c r="L69" i="1"/>
  <c r="L70" i="1" s="1"/>
  <c r="L74" i="1" s="1"/>
  <c r="L79" i="1"/>
  <c r="L78" i="1"/>
  <c r="L55" i="1"/>
  <c r="L18" i="1"/>
  <c r="L17" i="1"/>
  <c r="L16" i="1"/>
  <c r="H46" i="1"/>
  <c r="H47" i="1"/>
  <c r="K48" i="1"/>
  <c r="I48" i="1"/>
  <c r="I50" i="1"/>
  <c r="H48" i="1"/>
  <c r="H27" i="9"/>
  <c r="H29" i="9"/>
  <c r="H6" i="9"/>
  <c r="H8" i="9"/>
  <c r="H12" i="9"/>
  <c r="H15" i="9"/>
  <c r="H16" i="9"/>
  <c r="G18" i="9"/>
  <c r="K69" i="1"/>
  <c r="K70" i="1" s="1"/>
  <c r="K34" i="1"/>
  <c r="K78" i="1"/>
  <c r="K42" i="1"/>
  <c r="K52" i="1" s="1"/>
  <c r="K74" i="1" s="1"/>
  <c r="K43" i="1"/>
  <c r="K10" i="1"/>
  <c r="K9" i="1"/>
  <c r="K18" i="1"/>
  <c r="K17" i="1"/>
  <c r="K16" i="1"/>
  <c r="K15" i="1"/>
  <c r="I15" i="1"/>
  <c r="I30" i="1" s="1"/>
  <c r="I72" i="1" s="1"/>
  <c r="I16" i="1"/>
  <c r="H27" i="8"/>
  <c r="H31" i="8" s="1"/>
  <c r="H34" i="8" s="1"/>
  <c r="H7" i="8"/>
  <c r="H8" i="8"/>
  <c r="H16" i="8"/>
  <c r="H15" i="8"/>
  <c r="H14" i="8"/>
  <c r="H13" i="8"/>
  <c r="H12" i="8"/>
  <c r="G18" i="8"/>
  <c r="H6" i="8"/>
  <c r="I47" i="1"/>
  <c r="Q47" i="1" s="1"/>
  <c r="R47" i="1" s="1"/>
  <c r="I44" i="1"/>
  <c r="I79" i="1"/>
  <c r="G78" i="1"/>
  <c r="H78" i="1"/>
  <c r="I78" i="1"/>
  <c r="J78" i="1"/>
  <c r="J79" i="1"/>
  <c r="J69" i="1"/>
  <c r="J70" i="1" s="1"/>
  <c r="J43" i="1"/>
  <c r="J52" i="1" s="1"/>
  <c r="F19" i="1"/>
  <c r="J17" i="1"/>
  <c r="J18" i="1"/>
  <c r="J16" i="1"/>
  <c r="J15" i="1"/>
  <c r="H6" i="7"/>
  <c r="H18" i="7" s="1"/>
  <c r="H22" i="7" s="1"/>
  <c r="H24" i="7" s="1"/>
  <c r="H33" i="7" s="1"/>
  <c r="H42" i="1"/>
  <c r="F18" i="1"/>
  <c r="F21" i="1"/>
  <c r="F20" i="1"/>
  <c r="E15" i="1"/>
  <c r="E30" i="1" s="1"/>
  <c r="G16" i="1"/>
  <c r="G15" i="1"/>
  <c r="G18" i="1"/>
  <c r="G17" i="1"/>
  <c r="I18" i="1"/>
  <c r="G79" i="1"/>
  <c r="H7" i="7"/>
  <c r="H8" i="7"/>
  <c r="G7" i="7"/>
  <c r="G18" i="7" s="1"/>
  <c r="H27" i="7"/>
  <c r="H31" i="7"/>
  <c r="H34" i="7" s="1"/>
  <c r="H16" i="7"/>
  <c r="H15" i="7"/>
  <c r="H14" i="7"/>
  <c r="H13" i="7"/>
  <c r="H12" i="7"/>
  <c r="I69" i="1"/>
  <c r="I17" i="1"/>
  <c r="H15" i="1"/>
  <c r="G7" i="6"/>
  <c r="G18" i="6" s="1"/>
  <c r="H7" i="6"/>
  <c r="H6" i="6"/>
  <c r="H12" i="6"/>
  <c r="H13" i="6"/>
  <c r="H27" i="6"/>
  <c r="H31" i="6" s="1"/>
  <c r="H34" i="6" s="1"/>
  <c r="H8" i="6"/>
  <c r="H14" i="6"/>
  <c r="H15" i="6"/>
  <c r="H16" i="6"/>
  <c r="H69" i="1"/>
  <c r="A21" i="5"/>
  <c r="H18" i="1"/>
  <c r="H16" i="1"/>
  <c r="H17" i="1"/>
  <c r="H30" i="1" s="1"/>
  <c r="H72" i="1" s="1"/>
  <c r="H10" i="1"/>
  <c r="H9" i="1"/>
  <c r="G69" i="1"/>
  <c r="H7" i="4"/>
  <c r="H6" i="4"/>
  <c r="H8" i="4"/>
  <c r="H12" i="4"/>
  <c r="H14" i="4"/>
  <c r="H15" i="4"/>
  <c r="H16" i="4"/>
  <c r="H27" i="4"/>
  <c r="H31" i="4" s="1"/>
  <c r="H34" i="4" s="1"/>
  <c r="G18" i="4"/>
  <c r="H27" i="3"/>
  <c r="H16" i="3"/>
  <c r="H15" i="3"/>
  <c r="H14" i="3"/>
  <c r="H12" i="3"/>
  <c r="H8" i="3"/>
  <c r="H6" i="3"/>
  <c r="F69" i="1"/>
  <c r="F70" i="1" s="1"/>
  <c r="G12" i="1"/>
  <c r="H12" i="1" s="1"/>
  <c r="I12" i="1" s="1"/>
  <c r="J12" i="1" s="1"/>
  <c r="K12" i="1" s="1"/>
  <c r="L12" i="1" s="1"/>
  <c r="M12" i="1" s="1"/>
  <c r="N12" i="1" s="1"/>
  <c r="O12" i="1" s="1"/>
  <c r="P12" i="1" s="1"/>
  <c r="F10" i="1"/>
  <c r="F9" i="1"/>
  <c r="E66" i="1"/>
  <c r="F12" i="1" s="1"/>
  <c r="H31" i="3"/>
  <c r="H34" i="3" s="1"/>
  <c r="H28" i="2"/>
  <c r="H31" i="2" s="1"/>
  <c r="H34" i="2" s="1"/>
  <c r="H37" i="2" s="1"/>
  <c r="H24" i="2"/>
  <c r="H33" i="2" s="1"/>
  <c r="H16" i="2"/>
  <c r="H15" i="2"/>
  <c r="H14" i="2"/>
  <c r="H12" i="2"/>
  <c r="H8" i="2"/>
  <c r="H6" i="2"/>
  <c r="E52" i="1"/>
  <c r="Q29" i="1"/>
  <c r="R29" i="1" s="1"/>
  <c r="F52" i="1"/>
  <c r="O30" i="1"/>
  <c r="O72" i="1" s="1"/>
  <c r="P30" i="1"/>
  <c r="P72" i="1" s="1"/>
  <c r="I70" i="1"/>
  <c r="M57" i="1"/>
  <c r="Q63" i="1"/>
  <c r="R63" i="1" s="1"/>
  <c r="Q64" i="1"/>
  <c r="R64" i="1"/>
  <c r="Q67" i="1"/>
  <c r="R67" i="1"/>
  <c r="Q68" i="1"/>
  <c r="R68" i="1" s="1"/>
  <c r="Q62" i="1"/>
  <c r="R62" i="1" s="1"/>
  <c r="Q61" i="1"/>
  <c r="R61" i="1"/>
  <c r="Q60" i="1"/>
  <c r="R60" i="1" s="1"/>
  <c r="G70" i="1"/>
  <c r="H70" i="1"/>
  <c r="N70" i="1"/>
  <c r="O70" i="1"/>
  <c r="Q55" i="1"/>
  <c r="R55" i="1" s="1"/>
  <c r="Q56" i="1"/>
  <c r="R56" i="1" s="1"/>
  <c r="F57" i="1"/>
  <c r="G57" i="1"/>
  <c r="H57" i="1"/>
  <c r="I57" i="1"/>
  <c r="J57" i="1"/>
  <c r="K57" i="1"/>
  <c r="L57" i="1"/>
  <c r="N57" i="1"/>
  <c r="O57" i="1"/>
  <c r="O74" i="1" s="1"/>
  <c r="P57" i="1"/>
  <c r="P74" i="1" s="1"/>
  <c r="E57" i="1"/>
  <c r="R35" i="1"/>
  <c r="R36" i="1"/>
  <c r="Q40" i="1"/>
  <c r="R40" i="1" s="1"/>
  <c r="Q41" i="1"/>
  <c r="R41" i="1" s="1"/>
  <c r="Q44" i="1"/>
  <c r="R44" i="1" s="1"/>
  <c r="Q45" i="1"/>
  <c r="R45" i="1" s="1"/>
  <c r="Q46" i="1"/>
  <c r="R46" i="1" s="1"/>
  <c r="Q48" i="1"/>
  <c r="R48" i="1" s="1"/>
  <c r="Q49" i="1"/>
  <c r="R49" i="1" s="1"/>
  <c r="Q50" i="1"/>
  <c r="R50" i="1" s="1"/>
  <c r="Q51" i="1"/>
  <c r="R51" i="1" s="1"/>
  <c r="Q19" i="1"/>
  <c r="R19" i="1"/>
  <c r="Q20" i="1"/>
  <c r="R20" i="1" s="1"/>
  <c r="Q21" i="1"/>
  <c r="R21" i="1" s="1"/>
  <c r="Q23" i="1"/>
  <c r="R23" i="1"/>
  <c r="Q24" i="1"/>
  <c r="R24" i="1" s="1"/>
  <c r="Q25" i="1"/>
  <c r="R25" i="1" s="1"/>
  <c r="Q26" i="1"/>
  <c r="R26" i="1" s="1"/>
  <c r="Q27" i="1"/>
  <c r="R27" i="1" s="1"/>
  <c r="Q28" i="1"/>
  <c r="R28" i="1" s="1"/>
  <c r="Q10" i="1"/>
  <c r="R10" i="1" s="1"/>
  <c r="Q9" i="1"/>
  <c r="R9" i="1"/>
  <c r="G52" i="1"/>
  <c r="H52" i="1"/>
  <c r="H74" i="1" s="1"/>
  <c r="L52" i="1"/>
  <c r="P52" i="1"/>
  <c r="C70" i="1"/>
  <c r="C57" i="1"/>
  <c r="C52" i="1"/>
  <c r="C18" i="1"/>
  <c r="C30" i="1" s="1"/>
  <c r="C72" i="1" s="1"/>
  <c r="O76" i="1" l="1"/>
  <c r="F74" i="1"/>
  <c r="H18" i="2"/>
  <c r="N30" i="1"/>
  <c r="N72" i="1" s="1"/>
  <c r="N76" i="1" s="1"/>
  <c r="H37" i="13"/>
  <c r="H36" i="10"/>
  <c r="H37" i="11"/>
  <c r="C74" i="1"/>
  <c r="G74" i="1"/>
  <c r="Q15" i="1"/>
  <c r="R15" i="1" s="1"/>
  <c r="Q43" i="1"/>
  <c r="R43" i="1" s="1"/>
  <c r="J74" i="1"/>
  <c r="H18" i="4"/>
  <c r="H22" i="4" s="1"/>
  <c r="H24" i="4" s="1"/>
  <c r="H33" i="4" s="1"/>
  <c r="H36" i="4" s="1"/>
  <c r="H37" i="7"/>
  <c r="H18" i="8"/>
  <c r="H22" i="8" s="1"/>
  <c r="H24" i="8" s="1"/>
  <c r="H33" i="8" s="1"/>
  <c r="Q66" i="1"/>
  <c r="R66" i="1" s="1"/>
  <c r="P76" i="1"/>
  <c r="G30" i="1"/>
  <c r="G72" i="1" s="1"/>
  <c r="G76" i="1" s="1"/>
  <c r="F30" i="1"/>
  <c r="F72" i="1" s="1"/>
  <c r="F76" i="1" s="1"/>
  <c r="H37" i="8"/>
  <c r="K30" i="1"/>
  <c r="K72" i="1" s="1"/>
  <c r="Q34" i="1"/>
  <c r="R34" i="1" s="1"/>
  <c r="H18" i="9"/>
  <c r="H22" i="9" s="1"/>
  <c r="H24" i="9" s="1"/>
  <c r="H33" i="9" s="1"/>
  <c r="H31" i="9"/>
  <c r="H34" i="9" s="1"/>
  <c r="H37" i="9" s="1"/>
  <c r="H76" i="1"/>
  <c r="H36" i="8"/>
  <c r="H36" i="2"/>
  <c r="H37" i="4"/>
  <c r="H36" i="7"/>
  <c r="K76" i="1"/>
  <c r="H36" i="11"/>
  <c r="H36" i="13"/>
  <c r="H37" i="14"/>
  <c r="Q16" i="1"/>
  <c r="R16" i="1" s="1"/>
  <c r="H18" i="3"/>
  <c r="H22" i="3" s="1"/>
  <c r="H24" i="3" s="1"/>
  <c r="H33" i="3" s="1"/>
  <c r="H36" i="3" s="1"/>
  <c r="E81" i="1"/>
  <c r="E72" i="1"/>
  <c r="L30" i="1"/>
  <c r="L72" i="1" s="1"/>
  <c r="L76" i="1" s="1"/>
  <c r="H20" i="12"/>
  <c r="H24" i="12" s="1"/>
  <c r="H26" i="12" s="1"/>
  <c r="H36" i="12" s="1"/>
  <c r="H39" i="12" s="1"/>
  <c r="Q18" i="1"/>
  <c r="R18" i="1" s="1"/>
  <c r="Q42" i="1"/>
  <c r="R42" i="1" s="1"/>
  <c r="Q57" i="1"/>
  <c r="R57" i="1" s="1"/>
  <c r="Q69" i="1"/>
  <c r="R69" i="1" s="1"/>
  <c r="E70" i="1"/>
  <c r="M70" i="1"/>
  <c r="M74" i="1" s="1"/>
  <c r="M76" i="1" s="1"/>
  <c r="Q65" i="1"/>
  <c r="R65" i="1" s="1"/>
  <c r="H18" i="6"/>
  <c r="H22" i="6" s="1"/>
  <c r="H24" i="6" s="1"/>
  <c r="H33" i="6" s="1"/>
  <c r="H36" i="6" s="1"/>
  <c r="J30" i="1"/>
  <c r="J72" i="1" s="1"/>
  <c r="I52" i="1"/>
  <c r="H37" i="10"/>
  <c r="H36" i="9" l="1"/>
  <c r="H37" i="3"/>
  <c r="J76" i="1"/>
  <c r="H40" i="12"/>
  <c r="Q72" i="1"/>
  <c r="I74" i="1"/>
  <c r="I76" i="1" s="1"/>
  <c r="Q52" i="1"/>
  <c r="R52" i="1" s="1"/>
  <c r="H37" i="6"/>
  <c r="F6" i="1"/>
  <c r="E74" i="1"/>
  <c r="Q74" i="1" s="1"/>
  <c r="Q70" i="1"/>
  <c r="R70" i="1" s="1"/>
  <c r="Q30" i="1"/>
  <c r="R30" i="1" s="1"/>
  <c r="Q76" i="1" l="1"/>
  <c r="F81" i="1"/>
  <c r="G6" i="1"/>
  <c r="E76" i="1"/>
  <c r="G81" i="1" l="1"/>
  <c r="H6" i="1"/>
  <c r="H81" i="1" l="1"/>
  <c r="I6" i="1"/>
  <c r="J6" i="1" l="1"/>
  <c r="I81" i="1"/>
  <c r="J81" i="1" l="1"/>
  <c r="K6" i="1"/>
  <c r="L6" i="1" l="1"/>
  <c r="K81" i="1"/>
  <c r="M6" i="1" l="1"/>
  <c r="L81" i="1"/>
  <c r="M81" i="1" l="1"/>
  <c r="N6" i="1"/>
  <c r="N81" i="1" l="1"/>
  <c r="O6" i="1"/>
  <c r="O81" i="1" l="1"/>
  <c r="P6" i="1"/>
  <c r="P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 Ann M. Grant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Nov- Dec
</t>
        </r>
      </text>
    </comment>
    <comment ref="J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Jan- Feb 2016 
4 renewals
</t>
        </r>
      </text>
    </comment>
    <comment ref="J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Jan- Feb 2016
3 New Members</t>
        </r>
      </text>
    </comment>
    <comment ref="E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Nov +4,200.00
Dec -1,744.80 expense
Total $2,455.20
</t>
        </r>
      </text>
    </comment>
    <comment ref="L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1- no show- Bloomin Idiot</t>
        </r>
      </text>
    </comment>
    <comment ref="G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Katherine unpaid
</t>
        </r>
      </text>
    </comment>
    <comment ref="H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$5.00 adjusted for Francine Kades
</t>
        </r>
      </text>
    </comment>
    <comment ref="M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Unpaids- $35 each
Linda Blake
Katherine Lileck- Moreno</t>
        </r>
      </text>
    </comment>
    <comment ref="H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13 Employee of members
6 1st time attendees
1 spouse of member</t>
        </r>
      </text>
    </comment>
    <comment ref="M1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20- employee of member
2- spouse of member
</t>
        </r>
      </text>
    </comment>
    <comment ref="E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7 late fees
1- vendor rate
1- 1st time attendee
3- spouse/ signaficant other
</t>
        </r>
      </text>
    </comment>
    <comment ref="F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6- 1st time attendees
23- Student rates
2- vendor rates
12 late fees</t>
        </r>
      </text>
    </comment>
    <comment ref="G1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7- late
1 vendor rate
2 student members
3 1st time attendees @ $40
</t>
        </r>
      </text>
    </comment>
    <comment ref="H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Vendor Rate @ 18
Student Rate @ 3
Eric Cheroske owe $48
Valerie Bolitho owe $24
Natalie Hall $24 adjusted- sick
Cynthia Pottinger $24 adjusted- sick
</t>
        </r>
      </text>
    </comment>
    <comment ref="I1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5 late fees
9 vendors
7 1st time attendees @ $45
1- unpaid vendor- Francine Kaides
</t>
        </r>
      </text>
    </comment>
    <comment ref="J1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6 late 1st timers @ $10 ea.
24 1st timers @ $45 ea.
2 late guests @ $10 ea.
13 vendors @ $24 ea.
</t>
        </r>
      </text>
    </comment>
    <comment ref="K1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3- 1st timers @ $40 each
1 late fee - $10
17 Spouse or Sig Other @ $25
2- students @ $24
</t>
        </r>
      </text>
    </comment>
    <comment ref="L1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1 late
6 students
19 vendors
8 1st time
-45 no show bloomin idiot
-48 Classic Party</t>
        </r>
      </text>
    </comment>
    <comment ref="M1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4- late fee
2- 1st time attendees
1- vendor
6- students
Unpaid- Amanda Arnier &amp; Maxwell Kenny at $24.00 each</t>
        </r>
      </text>
    </comment>
    <comment ref="F1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$1.00 overpayment from Ginia
</t>
        </r>
      </text>
    </comment>
    <comment ref="F2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Shortpayment from Scott Nickels
</t>
        </r>
      </text>
    </comment>
    <comment ref="N2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Uncollected:
Justin Chapin- 35
Allison Chapin- 60
Allison Engelhard- 35
Ann Lasota- 35
Katherine- 60
Summer Peil- 70</t>
        </r>
      </text>
    </comment>
    <comment ref="L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Singleton Mom check from Foundation of NACE, winning the Experience Charity Grant 2016 written out to Phoenix NACE- see Sponsorships for outgoing- Phoenix NACE wrote a check to Singleton Mom for $500.00</t>
        </r>
      </text>
    </comment>
    <comment ref="G3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NAU check for February meeting
</t>
        </r>
      </text>
    </comment>
    <comment ref="J40" authorId="0" shapeId="0" xr:uid="{00000000-0006-0000-0000-000019000000}">
      <text>
        <r>
          <rPr>
            <b/>
            <sz val="9"/>
            <color indexed="81"/>
            <rFont val="Tahoma"/>
            <charset val="1"/>
          </rPr>
          <t>Jo Ann M. Grant:</t>
        </r>
        <r>
          <rPr>
            <sz val="9"/>
            <color indexed="81"/>
            <rFont val="Tahoma"/>
            <charset val="1"/>
          </rPr>
          <t xml:space="preserve">
Chrysalis</t>
        </r>
      </text>
    </comment>
    <comment ref="H4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Horizon Insurance 100
Harley Davidson Sec. 152
Creations In Cuisine- Ice charge $77.00</t>
        </r>
      </text>
    </comment>
    <comment ref="K4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500 July speaker
62.60 June Speaker gifts
51.95 July Speaker gift</t>
        </r>
      </text>
    </comment>
    <comment ref="I4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check cut to Allison for gift cards purchased
295- Dawn's Recertification</t>
        </r>
      </text>
    </comment>
    <comment ref="G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Dawn/ Sandi</t>
        </r>
      </text>
    </comment>
    <comment ref="H4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Ginia, Nicole &amp; Allison
Rachelle
Kellie Mendoza - 65
</t>
        </r>
      </text>
    </comment>
    <comment ref="K4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reimbursement from WigWam for Allison Chapin </t>
        </r>
      </text>
    </comment>
    <comment ref="H47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Sandi, Nicole, Alliso</t>
        </r>
      </text>
    </comment>
    <comment ref="I47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65.00 K. Mendoza Luncheon Experience
</t>
        </r>
      </text>
    </comment>
    <comment ref="H48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220.89- Hotel
348.70+12.95- Dawn's airfare
</t>
        </r>
      </text>
    </comment>
    <comment ref="I4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Amber's airfare
</t>
        </r>
      </text>
    </comment>
    <comment ref="K4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250- Dawn's Expense
839.16- Hotel
618.27- Hotel</t>
        </r>
      </text>
    </comment>
    <comment ref="I5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Dawn's Reimbursement</t>
        </r>
      </text>
    </comment>
    <comment ref="L5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Singleton Mom check *received $ from NACE Foundation and wrote a check to Singleton Moms</t>
        </r>
      </text>
    </comment>
    <comment ref="F64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Badge
</t>
        </r>
      </text>
    </comment>
    <comment ref="E66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$320.00 x 3 for Evolve Registration
$196.20 x 4 for Evolve Airline Expense
</t>
        </r>
      </text>
    </comment>
    <comment ref="F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Dr. Lee's Membership payment
</t>
        </r>
      </text>
    </comment>
    <comment ref="E69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Jo Ann M. Grant:</t>
        </r>
        <r>
          <rPr>
            <sz val="9"/>
            <color indexed="81"/>
            <rFont val="Tahoma"/>
            <family val="2"/>
          </rPr>
          <t xml:space="preserve">
12.00 from returned check
</t>
        </r>
      </text>
    </comment>
  </commentList>
</comments>
</file>

<file path=xl/sharedStrings.xml><?xml version="1.0" encoding="utf-8"?>
<sst xmlns="http://schemas.openxmlformats.org/spreadsheetml/2006/main" count="717" uniqueCount="233">
  <si>
    <t>Nace Budget and Worksheet</t>
  </si>
  <si>
    <t>Place</t>
  </si>
  <si>
    <t>MIM</t>
  </si>
  <si>
    <t>Bentley</t>
  </si>
  <si>
    <t>Renaissance</t>
  </si>
  <si>
    <t>Harley</t>
  </si>
  <si>
    <t>SoHo 63</t>
  </si>
  <si>
    <t>On Jackson</t>
  </si>
  <si>
    <t>Top Golf Gilbert</t>
  </si>
  <si>
    <t>Phoenix Art Museum</t>
  </si>
  <si>
    <t>Dine Around</t>
  </si>
  <si>
    <t>Hilton Scottsdale</t>
  </si>
  <si>
    <t>Chateau Luxe</t>
  </si>
  <si>
    <t>Bella Rose</t>
  </si>
  <si>
    <t>Theme</t>
  </si>
  <si>
    <t>Revenue:</t>
  </si>
  <si>
    <t>Formula</t>
  </si>
  <si>
    <t>Annual Budget</t>
  </si>
  <si>
    <t>Jan</t>
  </si>
  <si>
    <t>Feb</t>
  </si>
  <si>
    <t>Mar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</si>
  <si>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</si>
  <si>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</si>
  <si>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</si>
  <si>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</si>
  <si>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</si>
  <si>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</si>
  <si>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</si>
  <si>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</si>
  <si>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</si>
  <si>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</si>
  <si>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Difference</t>
  </si>
  <si>
    <t>Total Revenue (start in bank)</t>
  </si>
  <si>
    <r>
      <rPr>
        <b/>
        <sz val="11"/>
        <rFont val="Calibri"/>
        <family val="2"/>
        <scheme val="minor"/>
      </rPr>
      <t xml:space="preserve">Rebates </t>
    </r>
    <r>
      <rPr>
        <sz val="11"/>
        <rFont val="Calibri"/>
        <family val="2"/>
        <scheme val="minor"/>
      </rPr>
      <t>(based on 85 members)</t>
    </r>
  </si>
  <si>
    <t>rebates (Chapter Dues renewals)</t>
  </si>
  <si>
    <t xml:space="preserve">75x$50 </t>
  </si>
  <si>
    <t>Chapter Dues-New member rebates ($25)</t>
  </si>
  <si>
    <t>17x$50</t>
  </si>
  <si>
    <t>ASU Accounting (until they get bank account)</t>
  </si>
  <si>
    <t>$1800 from ASU- not received/membership dues/Phoenix sponsorship</t>
  </si>
  <si>
    <t xml:space="preserve">Meetings </t>
  </si>
  <si>
    <t>70ppl</t>
  </si>
  <si>
    <t>113ppl</t>
  </si>
  <si>
    <t>61ppl</t>
  </si>
  <si>
    <t>86ppl</t>
  </si>
  <si>
    <t>62ppl</t>
  </si>
  <si>
    <t>111ppl</t>
  </si>
  <si>
    <t>51ppl</t>
  </si>
  <si>
    <t>104ppl</t>
  </si>
  <si>
    <t> 65ppl </t>
  </si>
  <si>
    <t>151 ppl</t>
  </si>
  <si>
    <t>55 ppl</t>
  </si>
  <si>
    <t>89 ppl</t>
  </si>
  <si>
    <t>9 Monthly meetings (Members)</t>
  </si>
  <si>
    <t>25x$35x9meetings</t>
  </si>
  <si>
    <t>Monthly meeting (Employee of Member/ spouse/signaficant other)</t>
  </si>
  <si>
    <t>21x$40x9meetings</t>
  </si>
  <si>
    <t>Monthly meeting (Employee of Member)</t>
  </si>
  <si>
    <t>9 Monthly meetings (non-members/ guests)</t>
  </si>
  <si>
    <t>14x$50x9 meetings</t>
  </si>
  <si>
    <t>9 Monthly meetings (non-members)</t>
  </si>
  <si>
    <t>Monthly Meetings Misc/Late Fee/@Cost Vendors/1st Time/ Students</t>
  </si>
  <si>
    <t>$140x9 meetings</t>
  </si>
  <si>
    <t>Monthly Meetings Misc/Late Fee/@Cost Vendors</t>
  </si>
  <si>
    <t>February NAU Meeting (Member)</t>
  </si>
  <si>
    <t>25x$35</t>
  </si>
  <si>
    <t>February NAU Meeting (Employee of Member)</t>
  </si>
  <si>
    <t>21x$40</t>
  </si>
  <si>
    <t>February NAU Meeting (non-members)</t>
  </si>
  <si>
    <t>14x$50</t>
  </si>
  <si>
    <t>Fundraiser (Project NACE) Attendees</t>
  </si>
  <si>
    <t>100x$65</t>
  </si>
  <si>
    <t>Fundraiser (Project NACE) Silent Auction</t>
  </si>
  <si>
    <t>Holiday Mixer (teaming w/ILEA)</t>
  </si>
  <si>
    <t>110x25</t>
  </si>
  <si>
    <t>Holiday Mixer (teaming w/TBD)</t>
  </si>
  <si>
    <t>Holiday Mixer Raffle</t>
  </si>
  <si>
    <t xml:space="preserve">Raffle  </t>
  </si>
  <si>
    <t>$150x 9 meetings</t>
  </si>
  <si>
    <t>Additional Rollover Revenue from this year</t>
  </si>
  <si>
    <t>10% of december bank statement 2015</t>
  </si>
  <si>
    <t>Accounts Receivable/Meetings Adjustment</t>
  </si>
  <si>
    <t>ASU Accounts Receivable</t>
  </si>
  <si>
    <t>Total Meetings Income</t>
  </si>
  <si>
    <t>Expenses: (see detail)</t>
  </si>
  <si>
    <t>Leadership :</t>
  </si>
  <si>
    <t>Apr</t>
  </si>
  <si>
    <t xml:space="preserve">Monthly meetings </t>
  </si>
  <si>
    <t>$24x60x9</t>
  </si>
  <si>
    <t>February NAU Meeting Caterer</t>
  </si>
  <si>
    <t>$24x60</t>
  </si>
  <si>
    <t>NAU Experience Scholarship</t>
  </si>
  <si>
    <t xml:space="preserve">profits of meeting registration donated to NAU </t>
  </si>
  <si>
    <t>Fund Raiser Venue/Catering (Project NACE)</t>
  </si>
  <si>
    <t>100x35</t>
  </si>
  <si>
    <t>Fund Raiser A/V (Project NACE)</t>
  </si>
  <si>
    <t>Get Donated</t>
  </si>
  <si>
    <t>Fund Raiser Committee (Project NACE)</t>
  </si>
  <si>
    <t>gifts/misc</t>
  </si>
  <si>
    <t>Donation to Project NACE Charity</t>
  </si>
  <si>
    <t>Holiday Mixer Venue</t>
  </si>
  <si>
    <t>110x15</t>
  </si>
  <si>
    <t>Speakers Fees</t>
  </si>
  <si>
    <t>$500 for 4 meetings</t>
  </si>
  <si>
    <t>Speakers meals (comp'd)</t>
  </si>
  <si>
    <t>$24x10 meetings</t>
  </si>
  <si>
    <t>CPCE Education</t>
  </si>
  <si>
    <t>games to create excitement/President CPCE</t>
  </si>
  <si>
    <t>Resource Books/(CPCE library)</t>
  </si>
  <si>
    <t>update resource</t>
  </si>
  <si>
    <t>Experience (July--Ft.Lauderdale)</t>
  </si>
  <si>
    <t>4x$1050</t>
  </si>
  <si>
    <t>Experience CPC Governance</t>
  </si>
  <si>
    <t>4x$50</t>
  </si>
  <si>
    <t>President Experience</t>
  </si>
  <si>
    <t>800Room/400 flight/1050Conf/250Misc/add Amber flight &amp; conf</t>
  </si>
  <si>
    <t>Leadership (January--Seattle)</t>
  </si>
  <si>
    <t>3x545</t>
  </si>
  <si>
    <t>President Leadership</t>
  </si>
  <si>
    <t>600(rm);200(flgt);545(conf);200(misc)</t>
  </si>
  <si>
    <t>Sponsorships (Student Chapters)</t>
  </si>
  <si>
    <t>1 scholarship</t>
  </si>
  <si>
    <t>Total Leadership Expenses</t>
  </si>
  <si>
    <t>MEMBER SERVICES</t>
  </si>
  <si>
    <t>Board Retreat</t>
  </si>
  <si>
    <t>Foundation of NACE</t>
  </si>
  <si>
    <t>Total Member Service Expenses</t>
  </si>
  <si>
    <t>ADMINISTRATIVE</t>
  </si>
  <si>
    <t>Professional fees (accounting,taxes returns)</t>
  </si>
  <si>
    <t>Tax return</t>
  </si>
  <si>
    <t>Postage Fees / Treasurer</t>
  </si>
  <si>
    <t>Awards(spirit of Nace)</t>
  </si>
  <si>
    <t xml:space="preserve">Secretary </t>
  </si>
  <si>
    <t>stamps etc</t>
  </si>
  <si>
    <t xml:space="preserve"> </t>
  </si>
  <si>
    <t>Hospitality Committee</t>
  </si>
  <si>
    <t>badges, labels</t>
  </si>
  <si>
    <t xml:space="preserve">Membership Committee </t>
  </si>
  <si>
    <t>Misc expenses</t>
  </si>
  <si>
    <t>ASU Accounting</t>
  </si>
  <si>
    <t>Travel/Transfering money back to their account</t>
  </si>
  <si>
    <t>Web Hosting</t>
  </si>
  <si>
    <t>Starchapter</t>
  </si>
  <si>
    <t>Insurance</t>
  </si>
  <si>
    <t>$75/month x 12 months</t>
  </si>
  <si>
    <t>Credit Card Approval</t>
  </si>
  <si>
    <t>$110x12</t>
  </si>
  <si>
    <t>Total Administrative Expenses</t>
  </si>
  <si>
    <t>Total Income (balance)</t>
  </si>
  <si>
    <t>TOTAL EXPENSES  (52+56+69)</t>
  </si>
  <si>
    <t>TOTAL EXPENSES  (44+49+61)</t>
  </si>
  <si>
    <t>NET INCOME/LOSS (71-73)</t>
  </si>
  <si>
    <t>NET INCOME/LOSS (62-64)</t>
  </si>
  <si>
    <t>Total Past Checks</t>
  </si>
  <si>
    <t>Total Past Checks Cleared</t>
  </si>
  <si>
    <t>BALANCE IN BANK</t>
  </si>
  <si>
    <t>Formula is (Rows) 7+23-42-47-59+68-69</t>
  </si>
  <si>
    <t>Outstanding checks</t>
  </si>
  <si>
    <t>December</t>
  </si>
  <si>
    <t>Bella Rose Estate</t>
  </si>
  <si>
    <t>Who Ville</t>
  </si>
  <si>
    <t>Income</t>
  </si>
  <si>
    <t>cost</t>
  </si>
  <si>
    <t>#</t>
  </si>
  <si>
    <t>revenue</t>
  </si>
  <si>
    <t>Members</t>
  </si>
  <si>
    <t>Other</t>
  </si>
  <si>
    <t>Vendor Registration</t>
  </si>
  <si>
    <t>Paid Total</t>
  </si>
  <si>
    <t>Comp Venue Sponsors</t>
  </si>
  <si>
    <t>Comp Nace Sponsor</t>
  </si>
  <si>
    <t>Comp Speaker</t>
  </si>
  <si>
    <t>Comp Roll-over</t>
  </si>
  <si>
    <t>Committee</t>
  </si>
  <si>
    <t>Comp Total</t>
  </si>
  <si>
    <t>Registration Totals</t>
  </si>
  <si>
    <t>Count</t>
  </si>
  <si>
    <t>PAYMENTS</t>
  </si>
  <si>
    <t>value</t>
  </si>
  <si>
    <t>Cash, Checks &amp; Credit Cards</t>
  </si>
  <si>
    <t>Raffle</t>
  </si>
  <si>
    <t>TOTALS</t>
  </si>
  <si>
    <t>Expenses</t>
  </si>
  <si>
    <t>Fresh From the Kitchen</t>
  </si>
  <si>
    <t>Credit Card Fees</t>
  </si>
  <si>
    <t>Speaker</t>
  </si>
  <si>
    <t>misc.</t>
  </si>
  <si>
    <t>Total Expenses</t>
  </si>
  <si>
    <t>Meeting Income</t>
  </si>
  <si>
    <t>Meeting Expense</t>
  </si>
  <si>
    <t>Meeting Net Profit</t>
  </si>
  <si>
    <t>Meeting Cost %</t>
  </si>
  <si>
    <t>Bank Balance | Checking</t>
  </si>
  <si>
    <t>November</t>
  </si>
  <si>
    <t>Annual Wine Dinner</t>
  </si>
  <si>
    <t>October</t>
  </si>
  <si>
    <t xml:space="preserve">Hilton Scottsdale </t>
  </si>
  <si>
    <t>Project NACE</t>
  </si>
  <si>
    <t>Fashion ShowOnly</t>
  </si>
  <si>
    <t>Late Fees</t>
  </si>
  <si>
    <t>Vendor &amp; Student Registration</t>
  </si>
  <si>
    <t>Scottsdale Hilton</t>
  </si>
  <si>
    <t>Comps</t>
  </si>
  <si>
    <t>September</t>
  </si>
  <si>
    <t>Casa Blanca, The Herb Box, Olive &amp; Ivy</t>
  </si>
  <si>
    <t>Casa Blanca, The Herb Box &amp; Olive &amp; Ivy</t>
  </si>
  <si>
    <t>August</t>
  </si>
  <si>
    <t>Tantalizing Tables</t>
  </si>
  <si>
    <t>Fabulous Food</t>
  </si>
  <si>
    <t>July</t>
  </si>
  <si>
    <t>Work Life Balance</t>
  </si>
  <si>
    <t>Top Golf</t>
  </si>
  <si>
    <t>June</t>
  </si>
  <si>
    <t>DMC Panel</t>
  </si>
  <si>
    <t>Santa Barbara</t>
  </si>
  <si>
    <t>Engaging the 5 Senses</t>
  </si>
  <si>
    <t>Atlasta</t>
  </si>
  <si>
    <t>Harley Davidson</t>
  </si>
  <si>
    <t>The Vendor Dating Game</t>
  </si>
  <si>
    <t>Comp Nace Sponser</t>
  </si>
  <si>
    <t>Creations In Cuisine</t>
  </si>
  <si>
    <t>March</t>
  </si>
  <si>
    <t>Renaissance Downton Phoenix</t>
  </si>
  <si>
    <t xml:space="preserve">Stop Selling and Start Caring- Be Bold. </t>
  </si>
  <si>
    <t>Guests</t>
  </si>
  <si>
    <t>Renaissance DT Phx</t>
  </si>
  <si>
    <t>February</t>
  </si>
  <si>
    <t>Warehouse 2016</t>
  </si>
  <si>
    <t>Culinary Experience Presented by NAU</t>
  </si>
  <si>
    <t>Vendor Registration/ Students</t>
  </si>
  <si>
    <t>Warehouse 216</t>
  </si>
  <si>
    <t>January</t>
  </si>
  <si>
    <t>Around the World in 180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</si>
</sst>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 Narrow"/>
      <family val="2"/>
    </font>
    <font>
      <sz val="2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Fill="1" applyBorder="1"/>
    <xf numFmtId="0" fontId="3" fillId="0" borderId="1" xfId="0" applyFont="1" applyFill="1" applyBorder="1"/>
    <xf numFmtId="0" fontId="4" fillId="2" borderId="1" xfId="0" applyFont="1" applyFill="1" applyBorder="1"/>
    <xf numFmtId="0" fontId="3" fillId="0" borderId="1" xfId="0" applyFont="1" applyFill="1" applyBorder="1" applyAlignment="1">
      <alignment horizontal="center"/>
    </xf>
    <xf numFmtId="8" fontId="4" fillId="0" borderId="1" xfId="0" applyNumberFormat="1" applyFont="1" applyFill="1" applyBorder="1"/>
    <xf numFmtId="0" fontId="4" fillId="0" borderId="0" xfId="0" applyFont="1" applyFill="1"/>
    <xf numFmtId="44" fontId="4" fillId="0" borderId="1" xfId="1" applyFont="1" applyFill="1" applyBorder="1"/>
    <xf numFmtId="0" fontId="0" fillId="0" borderId="1" xfId="0" applyBorder="1"/>
    <xf numFmtId="44" fontId="4" fillId="2" borderId="1" xfId="1" applyFont="1" applyFill="1" applyBorder="1"/>
    <xf numFmtId="0" fontId="2" fillId="0" borderId="1" xfId="0" applyFont="1" applyBorder="1"/>
    <xf numFmtId="44" fontId="0" fillId="0" borderId="1" xfId="1" applyFont="1" applyBorder="1"/>
    <xf numFmtId="44" fontId="2" fillId="0" borderId="1" xfId="1" applyFont="1" applyBorder="1"/>
    <xf numFmtId="44" fontId="3" fillId="0" borderId="1" xfId="1" applyFont="1" applyFill="1" applyBorder="1" applyAlignment="1">
      <alignment wrapText="1"/>
    </xf>
    <xf numFmtId="44" fontId="3" fillId="0" borderId="1" xfId="1" applyFont="1" applyFill="1" applyBorder="1"/>
    <xf numFmtId="44" fontId="3" fillId="0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3" fillId="2" borderId="1" xfId="1" applyFont="1" applyFill="1" applyBorder="1"/>
    <xf numFmtId="44" fontId="2" fillId="0" borderId="1" xfId="0" applyNumberFormat="1" applyFont="1" applyBorder="1"/>
    <xf numFmtId="44" fontId="0" fillId="0" borderId="1" xfId="0" applyNumberFormat="1" applyBorder="1"/>
    <xf numFmtId="44" fontId="4" fillId="0" borderId="1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8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8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0" xfId="0" applyFont="1"/>
    <xf numFmtId="6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right"/>
    </xf>
    <xf numFmtId="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/>
    <xf numFmtId="165" fontId="10" fillId="0" borderId="0" xfId="0" applyNumberFormat="1" applyFont="1" applyAlignment="1">
      <alignment horizontal="center"/>
    </xf>
    <xf numFmtId="0" fontId="7" fillId="0" borderId="0" xfId="0" applyFont="1" applyFill="1"/>
    <xf numFmtId="6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7" fillId="0" borderId="0" xfId="0" applyNumberFormat="1" applyFont="1" applyFill="1" applyAlignment="1">
      <alignment horizontal="right"/>
    </xf>
    <xf numFmtId="0" fontId="10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/>
    <xf numFmtId="10" fontId="12" fillId="0" borderId="0" xfId="0" applyNumberFormat="1" applyFont="1" applyAlignment="1"/>
    <xf numFmtId="10" fontId="12" fillId="0" borderId="0" xfId="0" applyNumberFormat="1" applyFont="1"/>
    <xf numFmtId="0" fontId="9" fillId="0" borderId="0" xfId="0" applyFont="1"/>
    <xf numFmtId="44" fontId="9" fillId="0" borderId="0" xfId="1" applyFont="1" applyAlignment="1">
      <alignment horizontal="left"/>
    </xf>
    <xf numFmtId="44" fontId="0" fillId="3" borderId="1" xfId="1" applyFont="1" applyFill="1" applyBorder="1"/>
    <xf numFmtId="44" fontId="0" fillId="0" borderId="1" xfId="1" applyFont="1" applyFill="1" applyBorder="1"/>
    <xf numFmtId="44" fontId="4" fillId="4" borderId="1" xfId="1" applyFont="1" applyFill="1" applyBorder="1"/>
    <xf numFmtId="0" fontId="0" fillId="0" borderId="1" xfId="0" applyFill="1" applyBorder="1"/>
    <xf numFmtId="44" fontId="0" fillId="0" borderId="1" xfId="0" applyNumberFormat="1" applyFill="1" applyBorder="1"/>
    <xf numFmtId="165" fontId="0" fillId="0" borderId="0" xfId="0" applyNumberFormat="1"/>
    <xf numFmtId="44" fontId="4" fillId="5" borderId="1" xfId="1" applyFont="1" applyFill="1" applyBorder="1"/>
    <xf numFmtId="44" fontId="0" fillId="5" borderId="1" xfId="1" applyFont="1" applyFill="1" applyBorder="1"/>
    <xf numFmtId="44" fontId="2" fillId="5" borderId="1" xfId="1" applyFont="1" applyFill="1" applyBorder="1" applyAlignment="1">
      <alignment horizontal="center"/>
    </xf>
    <xf numFmtId="44" fontId="3" fillId="5" borderId="1" xfId="1" applyFont="1" applyFill="1" applyBorder="1"/>
    <xf numFmtId="44" fontId="2" fillId="5" borderId="1" xfId="1" applyFont="1" applyFill="1" applyBorder="1"/>
    <xf numFmtId="44" fontId="0" fillId="4" borderId="1" xfId="0" applyNumberFormat="1" applyFill="1" applyBorder="1"/>
    <xf numFmtId="44" fontId="4" fillId="0" borderId="1" xfId="1" applyFont="1" applyFill="1" applyBorder="1" applyAlignment="1">
      <alignment horizontal="center" wrapText="1"/>
    </xf>
    <xf numFmtId="44" fontId="4" fillId="5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8" fontId="9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3"/>
  <sheetViews>
    <sheetView zoomScaleNormal="100" workbookViewId="0">
      <pane xSplit="2" ySplit="10" topLeftCell="E11" activePane="bottomRight" state="frozen"/>
      <selection pane="topRight" activeCell="C1" sqref="C1"/>
      <selection pane="bottomLeft" activeCell="A11" sqref="A11"/>
      <selection pane="bottomRight" activeCell="B9" sqref="B9"/>
    </sheetView>
  </sheetViews>
  <sheetFormatPr defaultColWidth="9.1328125" defaultRowHeight="14.25" x14ac:dyDescent="0.45"/>
  <cols>
    <col min="1" max="1" width="52" style="8" customWidth="1"/>
    <col min="2" max="2" width="65.1328125" style="8" bestFit="1" customWidth="1"/>
    <col min="3" max="3" width="14.265625" style="11" bestFit="1" customWidth="1"/>
    <col min="4" max="4" width="3.59765625" style="8" customWidth="1"/>
    <col min="5" max="5" width="12.73046875" style="63" bestFit="1" customWidth="1"/>
    <col min="6" max="11" width="12.73046875" style="11" bestFit="1" customWidth="1"/>
    <col min="12" max="17" width="12.73046875" style="8" bestFit="1" customWidth="1"/>
    <col min="18" max="18" width="12.265625" style="8" bestFit="1" customWidth="1"/>
    <col min="19" max="19" width="2.265625" style="8" customWidth="1"/>
    <col min="20" max="20" width="45.3984375" style="8" bestFit="1" customWidth="1"/>
    <col min="21" max="16384" width="9.1328125" style="8"/>
  </cols>
  <sheetData>
    <row r="1" spans="1:20" s="1" customFormat="1" x14ac:dyDescent="0.45">
      <c r="A1" s="1" t="s">
        <v>0</v>
      </c>
      <c r="B1" s="1">
        <v>2016</v>
      </c>
      <c r="C1" s="7" t="s">
        <v>1</v>
      </c>
      <c r="E1" s="69" t="s">
        <v>2</v>
      </c>
      <c r="F1" s="70" t="s">
        <v>3</v>
      </c>
      <c r="G1" s="68" t="s">
        <v>4</v>
      </c>
      <c r="H1" s="68" t="s">
        <v>5</v>
      </c>
      <c r="I1" s="68" t="s">
        <v>6</v>
      </c>
      <c r="J1" s="68" t="s">
        <v>7</v>
      </c>
      <c r="K1" s="68" t="s">
        <v>8</v>
      </c>
      <c r="L1" s="68" t="s">
        <v>9</v>
      </c>
      <c r="M1" s="68" t="s">
        <v>10</v>
      </c>
      <c r="N1" s="68" t="s">
        <v>11</v>
      </c>
      <c r="O1" s="68" t="s">
        <v>12</v>
      </c>
      <c r="P1" s="68" t="s">
        <v>13</v>
      </c>
      <c r="R1" s="7"/>
      <c r="T1" s="1" t="s">
        <v>0</v>
      </c>
    </row>
    <row r="2" spans="1:20" s="1" customFormat="1" x14ac:dyDescent="0.45">
      <c r="C2" s="7"/>
      <c r="E2" s="69"/>
      <c r="F2" s="70"/>
      <c r="G2" s="68"/>
      <c r="H2" s="68"/>
      <c r="I2" s="68"/>
      <c r="J2" s="68"/>
      <c r="K2" s="68"/>
      <c r="L2" s="68"/>
      <c r="M2" s="68"/>
      <c r="N2" s="68"/>
      <c r="O2" s="68"/>
      <c r="P2" s="68"/>
      <c r="R2" s="7"/>
    </row>
    <row r="3" spans="1:20" s="1" customFormat="1" x14ac:dyDescent="0.45">
      <c r="C3" s="7"/>
      <c r="E3" s="6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7"/>
    </row>
    <row r="4" spans="1:20" s="1" customFormat="1" ht="30" customHeight="1" x14ac:dyDescent="0.45">
      <c r="C4" s="7" t="s">
        <v>14</v>
      </c>
      <c r="E4" s="63"/>
      <c r="F4" s="11"/>
      <c r="G4" s="11"/>
      <c r="H4" s="11"/>
      <c r="I4" s="11"/>
      <c r="J4" s="11"/>
      <c r="K4" s="11"/>
      <c r="L4" s="8"/>
      <c r="M4" s="8"/>
      <c r="N4" s="8"/>
      <c r="O4" s="8"/>
      <c r="P4" s="8"/>
      <c r="R4" s="7"/>
    </row>
    <row r="5" spans="1:20" s="16" customFormat="1" x14ac:dyDescent="0.45">
      <c r="A5" s="4" t="s">
        <v>15</v>
      </c>
      <c r="B5" s="4" t="s">
        <v>16</v>
      </c>
      <c r="C5" s="15" t="s">
        <v>17</v>
      </c>
      <c r="E5" s="64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16" t="s">
        <v>30</v>
      </c>
      <c r="R5" s="16" t="s">
        <v>31</v>
      </c>
      <c r="T5" s="4" t="s">
        <v>15</v>
      </c>
    </row>
    <row r="6" spans="1:20" x14ac:dyDescent="0.45">
      <c r="A6" s="1" t="s">
        <v>32</v>
      </c>
      <c r="B6" s="1"/>
      <c r="C6" s="13"/>
      <c r="E6" s="63">
        <v>35258.559999999998</v>
      </c>
      <c r="F6" s="11">
        <f>E6+E30-E52-E57-E70+E78-E79</f>
        <v>36275.780000000006</v>
      </c>
      <c r="G6" s="11">
        <f t="shared" ref="G6:P6" si="0">F6+F30-F52-F57-F70+F78-F79</f>
        <v>37052.530000000006</v>
      </c>
      <c r="H6" s="11">
        <f t="shared" si="0"/>
        <v>34341.83</v>
      </c>
      <c r="I6" s="11">
        <f t="shared" si="0"/>
        <v>27977.850000000006</v>
      </c>
      <c r="J6" s="11">
        <f t="shared" si="0"/>
        <v>25703.28000000001</v>
      </c>
      <c r="K6" s="11">
        <f t="shared" si="0"/>
        <v>27315.830000000009</v>
      </c>
      <c r="L6" s="11">
        <f t="shared" si="0"/>
        <v>25981.170000000009</v>
      </c>
      <c r="M6" s="11">
        <f t="shared" si="0"/>
        <v>24615.000000000011</v>
      </c>
      <c r="N6" s="11">
        <f t="shared" si="0"/>
        <v>25010.410000000007</v>
      </c>
      <c r="O6" s="11">
        <f t="shared" si="0"/>
        <v>35452.26</v>
      </c>
      <c r="P6" s="11">
        <f t="shared" si="0"/>
        <v>30794.530000000002</v>
      </c>
      <c r="T6" s="1" t="s">
        <v>32</v>
      </c>
    </row>
    <row r="7" spans="1:20" x14ac:dyDescent="0.45">
      <c r="A7" s="1"/>
      <c r="B7" s="1"/>
      <c r="C7" s="7"/>
      <c r="T7" s="1"/>
    </row>
    <row r="8" spans="1:20" x14ac:dyDescent="0.45">
      <c r="A8" s="1" t="s">
        <v>33</v>
      </c>
      <c r="B8" s="1"/>
      <c r="C8" s="7"/>
      <c r="T8" s="1" t="s">
        <v>33</v>
      </c>
    </row>
    <row r="9" spans="1:20" x14ac:dyDescent="0.45">
      <c r="A9" s="1" t="s">
        <v>34</v>
      </c>
      <c r="B9" s="1" t="s">
        <v>35</v>
      </c>
      <c r="C9" s="7">
        <v>3750</v>
      </c>
      <c r="F9" s="11">
        <f>7*50</f>
        <v>350</v>
      </c>
      <c r="G9" s="11">
        <v>275</v>
      </c>
      <c r="H9" s="11">
        <f>6*50</f>
        <v>300</v>
      </c>
      <c r="J9" s="11">
        <v>200</v>
      </c>
      <c r="K9" s="11">
        <f>4*50</f>
        <v>200</v>
      </c>
      <c r="M9" s="11">
        <f>50*6</f>
        <v>300</v>
      </c>
      <c r="P9" s="8">
        <v>200</v>
      </c>
      <c r="Q9" s="20">
        <f>SUM(E9:P9)</f>
        <v>1825</v>
      </c>
      <c r="R9" s="20">
        <f>Q9-C9</f>
        <v>-1925</v>
      </c>
      <c r="T9" s="1" t="s">
        <v>34</v>
      </c>
    </row>
    <row r="10" spans="1:20" x14ac:dyDescent="0.45">
      <c r="A10" s="1" t="s">
        <v>36</v>
      </c>
      <c r="B10" s="1" t="s">
        <v>37</v>
      </c>
      <c r="C10" s="7">
        <v>425</v>
      </c>
      <c r="F10" s="11">
        <f>2*50</f>
        <v>100</v>
      </c>
      <c r="G10" s="11">
        <v>25</v>
      </c>
      <c r="H10" s="11">
        <f>2*50</f>
        <v>100</v>
      </c>
      <c r="J10" s="11">
        <v>150</v>
      </c>
      <c r="K10" s="11">
        <f>50*3</f>
        <v>150</v>
      </c>
      <c r="M10" s="11">
        <f>50*4</f>
        <v>200</v>
      </c>
      <c r="Q10" s="20">
        <f>SUM(E10:P10)</f>
        <v>725</v>
      </c>
      <c r="R10" s="20">
        <f>Q10-C10</f>
        <v>300</v>
      </c>
      <c r="T10" s="1" t="s">
        <v>36</v>
      </c>
    </row>
    <row r="11" spans="1:20" x14ac:dyDescent="0.45">
      <c r="A11" s="1"/>
      <c r="B11" s="1"/>
      <c r="C11" s="7"/>
      <c r="T11" s="1"/>
    </row>
    <row r="12" spans="1:20" x14ac:dyDescent="0.45">
      <c r="A12" s="1" t="s">
        <v>38</v>
      </c>
      <c r="B12" s="1" t="s">
        <v>39</v>
      </c>
      <c r="C12" s="7">
        <v>4200</v>
      </c>
      <c r="E12" s="63">
        <v>2455.1999999999998</v>
      </c>
      <c r="F12" s="11">
        <f>E12+E29-E66</f>
        <v>1763.12</v>
      </c>
      <c r="G12" s="11">
        <f>F12+F29-F66</f>
        <v>1398.12</v>
      </c>
      <c r="H12" s="56">
        <f>G12+G29-G66</f>
        <v>0</v>
      </c>
      <c r="I12" s="56">
        <f t="shared" ref="I12:P12" si="1">H12+H29-H66</f>
        <v>0</v>
      </c>
      <c r="J12" s="56">
        <f t="shared" si="1"/>
        <v>0</v>
      </c>
      <c r="K12" s="56">
        <f t="shared" si="1"/>
        <v>0</v>
      </c>
      <c r="L12" s="56">
        <f t="shared" si="1"/>
        <v>0</v>
      </c>
      <c r="M12" s="56">
        <f t="shared" si="1"/>
        <v>0</v>
      </c>
      <c r="N12" s="56">
        <f t="shared" si="1"/>
        <v>0</v>
      </c>
      <c r="O12" s="56">
        <f t="shared" si="1"/>
        <v>0</v>
      </c>
      <c r="P12" s="56">
        <f t="shared" si="1"/>
        <v>0</v>
      </c>
      <c r="T12" s="1" t="s">
        <v>38</v>
      </c>
    </row>
    <row r="13" spans="1:20" x14ac:dyDescent="0.45">
      <c r="A13" s="1"/>
      <c r="B13" s="1"/>
      <c r="C13" s="7"/>
      <c r="T13" s="1"/>
    </row>
    <row r="14" spans="1:20" s="10" customFormat="1" x14ac:dyDescent="0.45">
      <c r="A14" s="2" t="s">
        <v>40</v>
      </c>
      <c r="B14" s="2"/>
      <c r="C14" s="14"/>
      <c r="E14" s="65" t="s">
        <v>41</v>
      </c>
      <c r="F14" s="14" t="s">
        <v>42</v>
      </c>
      <c r="G14" s="14" t="s">
        <v>43</v>
      </c>
      <c r="H14" s="18" t="s">
        <v>44</v>
      </c>
      <c r="I14" s="18" t="s">
        <v>45</v>
      </c>
      <c r="J14" s="18" t="s">
        <v>46</v>
      </c>
      <c r="K14" s="18" t="s">
        <v>47</v>
      </c>
      <c r="L14" s="18" t="s">
        <v>48</v>
      </c>
      <c r="M14" s="14" t="s">
        <v>49</v>
      </c>
      <c r="N14" s="14" t="s">
        <v>50</v>
      </c>
      <c r="O14" s="14" t="s">
        <v>51</v>
      </c>
      <c r="P14" s="14" t="s">
        <v>52</v>
      </c>
      <c r="Q14" s="16" t="s">
        <v>30</v>
      </c>
      <c r="R14" s="16" t="s">
        <v>31</v>
      </c>
      <c r="T14" s="2" t="s">
        <v>40</v>
      </c>
    </row>
    <row r="15" spans="1:20" x14ac:dyDescent="0.45">
      <c r="A15" s="3" t="s">
        <v>53</v>
      </c>
      <c r="B15" s="3" t="s">
        <v>54</v>
      </c>
      <c r="C15" s="9">
        <v>7875</v>
      </c>
      <c r="E15" s="63">
        <f>31*35</f>
        <v>1085</v>
      </c>
      <c r="F15" s="57"/>
      <c r="G15" s="57">
        <f>(26*35)-35</f>
        <v>875</v>
      </c>
      <c r="H15" s="11">
        <f>(35*24)-35</f>
        <v>805</v>
      </c>
      <c r="I15" s="11">
        <f>(20*35)</f>
        <v>700</v>
      </c>
      <c r="J15" s="11">
        <f>22*35</f>
        <v>770</v>
      </c>
      <c r="K15" s="11">
        <f>15*35</f>
        <v>525</v>
      </c>
      <c r="L15" s="11">
        <f>(19*35)</f>
        <v>665</v>
      </c>
      <c r="M15" s="11">
        <f>(25*35)-35-35</f>
        <v>805</v>
      </c>
      <c r="N15" s="11">
        <v>0</v>
      </c>
      <c r="O15" s="11">
        <f>22*35</f>
        <v>770</v>
      </c>
      <c r="P15" s="11">
        <v>0</v>
      </c>
      <c r="Q15" s="20">
        <f>SUM(E15:P15)</f>
        <v>7000</v>
      </c>
      <c r="R15" s="20">
        <f>Q15-C15</f>
        <v>-875</v>
      </c>
      <c r="T15" s="3" t="s">
        <v>53</v>
      </c>
    </row>
    <row r="16" spans="1:20" x14ac:dyDescent="0.45">
      <c r="A16" s="3" t="s">
        <v>55</v>
      </c>
      <c r="B16" s="3" t="s">
        <v>56</v>
      </c>
      <c r="C16" s="9">
        <v>7560</v>
      </c>
      <c r="E16" s="63">
        <f>13*40</f>
        <v>520</v>
      </c>
      <c r="F16" s="57"/>
      <c r="G16" s="11">
        <f>16*40</f>
        <v>640</v>
      </c>
      <c r="H16" s="11">
        <f>20*40</f>
        <v>800</v>
      </c>
      <c r="I16" s="11">
        <f>(20*40)</f>
        <v>800</v>
      </c>
      <c r="J16" s="11">
        <f>17*40</f>
        <v>680</v>
      </c>
      <c r="K16" s="11">
        <f>7*40</f>
        <v>280</v>
      </c>
      <c r="L16" s="11">
        <f>28*40</f>
        <v>1120</v>
      </c>
      <c r="M16" s="11">
        <f>(20*40)+(2*40)</f>
        <v>880</v>
      </c>
      <c r="N16" s="11">
        <v>0</v>
      </c>
      <c r="O16" s="11">
        <f>13*40</f>
        <v>520</v>
      </c>
      <c r="P16" s="11">
        <v>0</v>
      </c>
      <c r="Q16" s="20">
        <f t="shared" ref="Q16:Q29" si="2">SUM(E16:P16)</f>
        <v>6240</v>
      </c>
      <c r="R16" s="20">
        <f t="shared" ref="R16:R29" si="3">Q16-C16</f>
        <v>-1320</v>
      </c>
      <c r="T16" s="3" t="s">
        <v>57</v>
      </c>
    </row>
    <row r="17" spans="1:20" x14ac:dyDescent="0.45">
      <c r="A17" s="3" t="s">
        <v>58</v>
      </c>
      <c r="B17" s="3" t="s">
        <v>59</v>
      </c>
      <c r="C17" s="9">
        <v>6300</v>
      </c>
      <c r="E17" s="63">
        <f>14*50</f>
        <v>700</v>
      </c>
      <c r="F17" s="57"/>
      <c r="G17" s="11">
        <f>8*50</f>
        <v>400</v>
      </c>
      <c r="H17" s="11">
        <f>13*50</f>
        <v>650</v>
      </c>
      <c r="I17" s="11">
        <f>7*60</f>
        <v>420</v>
      </c>
      <c r="J17" s="11">
        <f>20*60</f>
        <v>1200</v>
      </c>
      <c r="K17" s="11">
        <f>40*5</f>
        <v>200</v>
      </c>
      <c r="L17" s="11">
        <f>19*60</f>
        <v>1140</v>
      </c>
      <c r="M17" s="11">
        <f>9*60</f>
        <v>540</v>
      </c>
      <c r="N17" s="11">
        <v>0</v>
      </c>
      <c r="O17" s="11">
        <f>8*60</f>
        <v>480</v>
      </c>
      <c r="P17" s="11">
        <v>0</v>
      </c>
      <c r="Q17" s="20">
        <f t="shared" si="2"/>
        <v>5730</v>
      </c>
      <c r="R17" s="20">
        <f t="shared" si="3"/>
        <v>-570</v>
      </c>
      <c r="T17" s="3" t="s">
        <v>60</v>
      </c>
    </row>
    <row r="18" spans="1:20" x14ac:dyDescent="0.45">
      <c r="A18" s="3" t="s">
        <v>61</v>
      </c>
      <c r="B18" s="3" t="s">
        <v>62</v>
      </c>
      <c r="C18" s="9">
        <f>140*9</f>
        <v>1260</v>
      </c>
      <c r="E18" s="63">
        <f>90+24+40+120</f>
        <v>274</v>
      </c>
      <c r="F18" s="57">
        <f>240+552+48+120</f>
        <v>960</v>
      </c>
      <c r="G18" s="11">
        <f>70+24+48+120</f>
        <v>262</v>
      </c>
      <c r="H18" s="11">
        <f>10+10+10+10+10+10+504-48-24-24-24</f>
        <v>444</v>
      </c>
      <c r="I18" s="11">
        <f>50+216+291</f>
        <v>557</v>
      </c>
      <c r="J18" s="11">
        <f>60+20+312+1080</f>
        <v>1472</v>
      </c>
      <c r="K18" s="11">
        <f>120+10+425+ 48</f>
        <v>603</v>
      </c>
      <c r="L18" s="11">
        <f>10+144+456+360-45-24-24</f>
        <v>877</v>
      </c>
      <c r="M18" s="11">
        <f>40+90+144+24-24-24-24</f>
        <v>226</v>
      </c>
      <c r="N18" s="11">
        <f>90</f>
        <v>90</v>
      </c>
      <c r="O18" s="11">
        <f>30+40+10+24+48+45</f>
        <v>197</v>
      </c>
      <c r="P18" s="11">
        <v>0</v>
      </c>
      <c r="Q18" s="20">
        <f t="shared" si="2"/>
        <v>5962</v>
      </c>
      <c r="R18" s="20">
        <f t="shared" si="3"/>
        <v>4702</v>
      </c>
      <c r="T18" s="3" t="s">
        <v>63</v>
      </c>
    </row>
    <row r="19" spans="1:20" s="59" customFormat="1" x14ac:dyDescent="0.45">
      <c r="A19" s="1" t="s">
        <v>64</v>
      </c>
      <c r="B19" s="1" t="s">
        <v>65</v>
      </c>
      <c r="C19" s="7">
        <v>875</v>
      </c>
      <c r="E19" s="63">
        <v>0</v>
      </c>
      <c r="F19" s="57">
        <f>(29*35)+1</f>
        <v>1016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60">
        <f t="shared" si="2"/>
        <v>1016</v>
      </c>
      <c r="R19" s="60">
        <f t="shared" si="3"/>
        <v>141</v>
      </c>
      <c r="T19" s="1" t="s">
        <v>64</v>
      </c>
    </row>
    <row r="20" spans="1:20" s="59" customFormat="1" x14ac:dyDescent="0.45">
      <c r="A20" s="1" t="s">
        <v>66</v>
      </c>
      <c r="B20" s="1" t="s">
        <v>67</v>
      </c>
      <c r="C20" s="7">
        <v>840</v>
      </c>
      <c r="E20" s="63">
        <v>0</v>
      </c>
      <c r="F20" s="57">
        <f>24*40</f>
        <v>960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60">
        <f t="shared" si="2"/>
        <v>960</v>
      </c>
      <c r="R20" s="60">
        <f t="shared" si="3"/>
        <v>120</v>
      </c>
      <c r="T20" s="1" t="s">
        <v>66</v>
      </c>
    </row>
    <row r="21" spans="1:20" s="59" customFormat="1" x14ac:dyDescent="0.45">
      <c r="A21" s="1" t="s">
        <v>68</v>
      </c>
      <c r="B21" s="1" t="s">
        <v>69</v>
      </c>
      <c r="C21" s="7">
        <v>700</v>
      </c>
      <c r="E21" s="63">
        <v>0</v>
      </c>
      <c r="F21" s="57">
        <f>(24*50)-15</f>
        <v>1185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60">
        <f t="shared" si="2"/>
        <v>1185</v>
      </c>
      <c r="R21" s="60">
        <f t="shared" si="3"/>
        <v>485</v>
      </c>
      <c r="T21" s="1" t="s">
        <v>68</v>
      </c>
    </row>
    <row r="22" spans="1:20" x14ac:dyDescent="0.45">
      <c r="A22" s="3" t="s">
        <v>70</v>
      </c>
      <c r="B22" s="3" t="s">
        <v>71</v>
      </c>
      <c r="C22" s="9">
        <v>6500</v>
      </c>
      <c r="E22" s="63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f>7810-60-60-35-35-35-70</f>
        <v>7515</v>
      </c>
      <c r="O22" s="11">
        <v>0</v>
      </c>
      <c r="P22" s="11">
        <v>0</v>
      </c>
      <c r="Q22" s="20">
        <f t="shared" si="2"/>
        <v>7515</v>
      </c>
      <c r="R22" s="20">
        <f t="shared" si="3"/>
        <v>1015</v>
      </c>
      <c r="T22" s="3" t="s">
        <v>70</v>
      </c>
    </row>
    <row r="23" spans="1:20" x14ac:dyDescent="0.45">
      <c r="A23" s="3" t="s">
        <v>72</v>
      </c>
      <c r="B23" s="3"/>
      <c r="C23" s="9">
        <v>1000</v>
      </c>
      <c r="E23" s="63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f>781+3575</f>
        <v>4356</v>
      </c>
      <c r="O23" s="11">
        <v>0</v>
      </c>
      <c r="P23" s="11">
        <v>0</v>
      </c>
      <c r="Q23" s="20">
        <f t="shared" si="2"/>
        <v>4356</v>
      </c>
      <c r="R23" s="20">
        <f t="shared" si="3"/>
        <v>3356</v>
      </c>
      <c r="T23" s="3" t="s">
        <v>72</v>
      </c>
    </row>
    <row r="24" spans="1:20" x14ac:dyDescent="0.45">
      <c r="A24" s="3" t="s">
        <v>73</v>
      </c>
      <c r="B24" s="3" t="s">
        <v>74</v>
      </c>
      <c r="C24" s="9">
        <v>2750</v>
      </c>
      <c r="E24" s="63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57">
        <v>2080</v>
      </c>
      <c r="Q24" s="20">
        <f t="shared" si="2"/>
        <v>2080</v>
      </c>
      <c r="R24" s="20">
        <f t="shared" si="3"/>
        <v>-670</v>
      </c>
      <c r="T24" s="3" t="s">
        <v>75</v>
      </c>
    </row>
    <row r="25" spans="1:20" x14ac:dyDescent="0.45">
      <c r="A25" s="3" t="s">
        <v>76</v>
      </c>
      <c r="B25" s="3"/>
      <c r="C25" s="9">
        <v>250</v>
      </c>
      <c r="E25" s="63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57">
        <v>475</v>
      </c>
      <c r="Q25" s="20">
        <f t="shared" si="2"/>
        <v>475</v>
      </c>
      <c r="R25" s="20">
        <f t="shared" si="3"/>
        <v>225</v>
      </c>
      <c r="T25" s="3" t="s">
        <v>76</v>
      </c>
    </row>
    <row r="26" spans="1:20" x14ac:dyDescent="0.45">
      <c r="A26" s="3" t="s">
        <v>77</v>
      </c>
      <c r="B26" s="3" t="s">
        <v>78</v>
      </c>
      <c r="C26" s="9">
        <v>1188</v>
      </c>
      <c r="E26" s="63">
        <v>98</v>
      </c>
      <c r="F26" s="11">
        <v>724</v>
      </c>
      <c r="G26" s="57">
        <v>228.49</v>
      </c>
      <c r="H26" s="11">
        <v>285.73</v>
      </c>
      <c r="I26" s="57">
        <v>192</v>
      </c>
      <c r="J26" s="11">
        <v>341</v>
      </c>
      <c r="K26" s="11">
        <v>80</v>
      </c>
      <c r="L26" s="11">
        <v>325</v>
      </c>
      <c r="M26" s="11">
        <v>117</v>
      </c>
      <c r="N26" s="8">
        <v>0</v>
      </c>
      <c r="O26" s="11">
        <v>140</v>
      </c>
      <c r="P26" s="11">
        <v>0</v>
      </c>
      <c r="Q26" s="20">
        <f t="shared" si="2"/>
        <v>2531.2200000000003</v>
      </c>
      <c r="R26" s="20">
        <f t="shared" si="3"/>
        <v>1343.2200000000003</v>
      </c>
      <c r="T26" s="3" t="s">
        <v>77</v>
      </c>
    </row>
    <row r="27" spans="1:20" x14ac:dyDescent="0.45">
      <c r="A27" s="3" t="s">
        <v>79</v>
      </c>
      <c r="B27" s="3" t="s">
        <v>80</v>
      </c>
      <c r="C27" s="9">
        <v>3732</v>
      </c>
      <c r="E27" s="63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0">
        <f t="shared" si="2"/>
        <v>0</v>
      </c>
      <c r="R27" s="20">
        <f t="shared" si="3"/>
        <v>-3732</v>
      </c>
      <c r="T27" s="3" t="s">
        <v>79</v>
      </c>
    </row>
    <row r="28" spans="1:20" x14ac:dyDescent="0.45">
      <c r="A28" s="3" t="s">
        <v>81</v>
      </c>
      <c r="B28" s="3"/>
      <c r="C28" s="9"/>
      <c r="E28" s="63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500</v>
      </c>
      <c r="M28" s="11">
        <v>0</v>
      </c>
      <c r="N28" s="11">
        <v>0</v>
      </c>
      <c r="O28" s="11">
        <v>0</v>
      </c>
      <c r="P28" s="11">
        <v>0</v>
      </c>
      <c r="Q28" s="20">
        <f t="shared" si="2"/>
        <v>500</v>
      </c>
      <c r="R28" s="20">
        <f t="shared" si="3"/>
        <v>500</v>
      </c>
      <c r="T28" s="3" t="s">
        <v>81</v>
      </c>
    </row>
    <row r="29" spans="1:20" x14ac:dyDescent="0.45">
      <c r="A29" s="3" t="s">
        <v>82</v>
      </c>
      <c r="B29" s="3"/>
      <c r="C29" s="9"/>
      <c r="E29" s="63">
        <v>220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20">
        <f t="shared" si="2"/>
        <v>220</v>
      </c>
      <c r="R29" s="20">
        <f t="shared" si="3"/>
        <v>220</v>
      </c>
      <c r="T29" s="3"/>
    </row>
    <row r="30" spans="1:20" s="10" customFormat="1" x14ac:dyDescent="0.45">
      <c r="A30" s="2" t="s">
        <v>83</v>
      </c>
      <c r="B30" s="2"/>
      <c r="C30" s="14">
        <f>SUM(C9:C28)</f>
        <v>49205</v>
      </c>
      <c r="E30" s="66">
        <f>SUM(E15:E29)</f>
        <v>2897</v>
      </c>
      <c r="F30" s="12">
        <f t="shared" ref="F30:P30" si="4">SUM(F15:F29)</f>
        <v>4845</v>
      </c>
      <c r="G30" s="12">
        <f t="shared" si="4"/>
        <v>2405.4899999999998</v>
      </c>
      <c r="H30" s="12">
        <f t="shared" si="4"/>
        <v>2984.73</v>
      </c>
      <c r="I30" s="12">
        <f t="shared" si="4"/>
        <v>2669</v>
      </c>
      <c r="J30" s="12">
        <f t="shared" si="4"/>
        <v>4463</v>
      </c>
      <c r="K30" s="12">
        <f t="shared" si="4"/>
        <v>1688</v>
      </c>
      <c r="L30" s="12">
        <f t="shared" si="4"/>
        <v>4627</v>
      </c>
      <c r="M30" s="12">
        <f t="shared" si="4"/>
        <v>2568</v>
      </c>
      <c r="N30" s="12">
        <f>SUM(N15:N29)</f>
        <v>11961</v>
      </c>
      <c r="O30" s="12">
        <f t="shared" si="4"/>
        <v>2107</v>
      </c>
      <c r="P30" s="12">
        <f t="shared" si="4"/>
        <v>2555</v>
      </c>
      <c r="Q30" s="19">
        <f>SUM(E30:P30)</f>
        <v>45770.22</v>
      </c>
      <c r="R30" s="19">
        <f>Q30-C30</f>
        <v>-3434.7799999999988</v>
      </c>
      <c r="T30" s="2" t="s">
        <v>83</v>
      </c>
    </row>
    <row r="31" spans="1:20" x14ac:dyDescent="0.45">
      <c r="A31" s="1"/>
      <c r="B31" s="1"/>
      <c r="C31" s="7"/>
      <c r="T31" s="1"/>
    </row>
    <row r="32" spans="1:20" x14ac:dyDescent="0.45">
      <c r="A32" s="4" t="s">
        <v>84</v>
      </c>
      <c r="B32" s="1"/>
      <c r="C32" s="7"/>
      <c r="T32" s="4" t="s">
        <v>84</v>
      </c>
    </row>
    <row r="33" spans="1:20" x14ac:dyDescent="0.45">
      <c r="A33" s="2" t="s">
        <v>85</v>
      </c>
      <c r="B33" s="1"/>
      <c r="C33" s="7"/>
      <c r="E33" s="64" t="s">
        <v>18</v>
      </c>
      <c r="F33" s="17" t="s">
        <v>19</v>
      </c>
      <c r="G33" s="17" t="s">
        <v>20</v>
      </c>
      <c r="H33" s="17" t="s">
        <v>86</v>
      </c>
      <c r="I33" s="17" t="s">
        <v>22</v>
      </c>
      <c r="J33" s="17" t="s">
        <v>23</v>
      </c>
      <c r="K33" s="17" t="s">
        <v>24</v>
      </c>
      <c r="L33" s="16" t="s">
        <v>25</v>
      </c>
      <c r="M33" s="16" t="s">
        <v>26</v>
      </c>
      <c r="N33" s="16" t="s">
        <v>27</v>
      </c>
      <c r="O33" s="16" t="s">
        <v>28</v>
      </c>
      <c r="P33" s="16" t="s">
        <v>29</v>
      </c>
      <c r="Q33" s="16" t="s">
        <v>30</v>
      </c>
      <c r="R33" s="16" t="s">
        <v>31</v>
      </c>
      <c r="T33" s="2" t="s">
        <v>85</v>
      </c>
    </row>
    <row r="34" spans="1:20" x14ac:dyDescent="0.45">
      <c r="A34" s="1" t="s">
        <v>87</v>
      </c>
      <c r="B34" s="1" t="s">
        <v>88</v>
      </c>
      <c r="C34" s="7">
        <v>12960</v>
      </c>
      <c r="E34" s="63">
        <v>1458.69</v>
      </c>
      <c r="F34" s="56">
        <v>0</v>
      </c>
      <c r="G34" s="11">
        <v>1392</v>
      </c>
      <c r="H34" s="11">
        <v>1848</v>
      </c>
      <c r="I34" s="11">
        <v>1440</v>
      </c>
      <c r="J34" s="11">
        <v>2423.67</v>
      </c>
      <c r="K34" s="11">
        <f>1116.97+125.24</f>
        <v>1242.21</v>
      </c>
      <c r="L34" s="11">
        <v>2304</v>
      </c>
      <c r="M34" s="11">
        <f>29.17+620+620+310</f>
        <v>1579.17</v>
      </c>
      <c r="N34" s="11">
        <v>0</v>
      </c>
      <c r="O34" s="11">
        <f>1079.58-24</f>
        <v>1055.58</v>
      </c>
      <c r="P34" s="11">
        <v>0</v>
      </c>
      <c r="Q34" s="67">
        <f>SUM(E34:P34)</f>
        <v>14743.32</v>
      </c>
      <c r="R34" s="20">
        <f t="shared" ref="R34:R51" si="5">Q34-C34</f>
        <v>1783.3199999999997</v>
      </c>
      <c r="T34" s="1" t="s">
        <v>87</v>
      </c>
    </row>
    <row r="35" spans="1:20" x14ac:dyDescent="0.45">
      <c r="A35" s="1" t="s">
        <v>89</v>
      </c>
      <c r="B35" s="1" t="s">
        <v>90</v>
      </c>
      <c r="C35" s="7">
        <v>1440</v>
      </c>
      <c r="E35" s="63">
        <v>0</v>
      </c>
      <c r="F35" s="11">
        <v>2688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67">
        <f t="shared" ref="Q35:Q39" si="6">SUM(E35:P35)</f>
        <v>2688</v>
      </c>
      <c r="R35" s="20">
        <f t="shared" si="5"/>
        <v>1248</v>
      </c>
      <c r="T35" s="1" t="s">
        <v>89</v>
      </c>
    </row>
    <row r="36" spans="1:20" x14ac:dyDescent="0.45">
      <c r="A36" s="1" t="s">
        <v>91</v>
      </c>
      <c r="B36" s="1" t="s">
        <v>92</v>
      </c>
      <c r="C36" s="7">
        <v>975</v>
      </c>
      <c r="E36" s="63">
        <v>0</v>
      </c>
      <c r="F36" s="11">
        <v>0</v>
      </c>
      <c r="G36" s="11">
        <v>2001.47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67">
        <f t="shared" si="6"/>
        <v>2001.47</v>
      </c>
      <c r="R36" s="20">
        <f t="shared" si="5"/>
        <v>1026.47</v>
      </c>
      <c r="T36" s="1" t="s">
        <v>91</v>
      </c>
    </row>
    <row r="37" spans="1:20" x14ac:dyDescent="0.45">
      <c r="A37" s="1" t="s">
        <v>93</v>
      </c>
      <c r="B37" s="1" t="s">
        <v>94</v>
      </c>
      <c r="C37" s="7">
        <v>3500</v>
      </c>
      <c r="E37" s="63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>4410+131.02</f>
        <v>4541.0200000000004</v>
      </c>
      <c r="O37" s="11">
        <v>0</v>
      </c>
      <c r="P37" s="11">
        <v>0</v>
      </c>
      <c r="Q37" s="67">
        <f t="shared" si="6"/>
        <v>4541.0200000000004</v>
      </c>
      <c r="R37" s="20">
        <f t="shared" si="5"/>
        <v>1041.0200000000004</v>
      </c>
      <c r="T37" s="1" t="s">
        <v>93</v>
      </c>
    </row>
    <row r="38" spans="1:20" x14ac:dyDescent="0.45">
      <c r="A38" s="1" t="s">
        <v>95</v>
      </c>
      <c r="B38" s="1" t="s">
        <v>96</v>
      </c>
      <c r="C38" s="7">
        <v>0</v>
      </c>
      <c r="E38" s="63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0">
        <f t="shared" si="6"/>
        <v>0</v>
      </c>
      <c r="R38" s="20">
        <f t="shared" si="5"/>
        <v>0</v>
      </c>
      <c r="T38" s="1" t="s">
        <v>95</v>
      </c>
    </row>
    <row r="39" spans="1:20" x14ac:dyDescent="0.45">
      <c r="A39" s="1" t="s">
        <v>97</v>
      </c>
      <c r="B39" s="1" t="s">
        <v>98</v>
      </c>
      <c r="C39" s="7">
        <v>300</v>
      </c>
      <c r="E39" s="63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>256.25+123.62+90.8</f>
        <v>470.67</v>
      </c>
      <c r="O39" s="11">
        <v>0</v>
      </c>
      <c r="P39" s="11">
        <v>0</v>
      </c>
      <c r="Q39" s="67">
        <f t="shared" si="6"/>
        <v>470.67</v>
      </c>
      <c r="R39" s="20">
        <f t="shared" si="5"/>
        <v>170.67000000000002</v>
      </c>
      <c r="T39" s="1" t="s">
        <v>97</v>
      </c>
    </row>
    <row r="40" spans="1:20" x14ac:dyDescent="0.45">
      <c r="A40" s="3" t="s">
        <v>99</v>
      </c>
      <c r="B40" s="3"/>
      <c r="C40" s="9">
        <v>1000</v>
      </c>
      <c r="E40" s="63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3800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67">
        <f t="shared" ref="Q40:Q51" si="7">SUM(E40:P40)</f>
        <v>3800</v>
      </c>
      <c r="R40" s="20">
        <f t="shared" si="5"/>
        <v>2800</v>
      </c>
      <c r="T40" s="3" t="s">
        <v>99</v>
      </c>
    </row>
    <row r="41" spans="1:20" x14ac:dyDescent="0.45">
      <c r="A41" s="1" t="s">
        <v>100</v>
      </c>
      <c r="B41" s="1" t="s">
        <v>101</v>
      </c>
      <c r="C41" s="7">
        <v>1650</v>
      </c>
      <c r="E41" s="63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57">
        <v>1260</v>
      </c>
      <c r="Q41" s="67">
        <f t="shared" si="7"/>
        <v>1260</v>
      </c>
      <c r="R41" s="20">
        <f t="shared" si="5"/>
        <v>-390</v>
      </c>
      <c r="T41" s="1" t="s">
        <v>100</v>
      </c>
    </row>
    <row r="42" spans="1:20" x14ac:dyDescent="0.45">
      <c r="A42" s="3" t="s">
        <v>102</v>
      </c>
      <c r="B42" s="3" t="s">
        <v>103</v>
      </c>
      <c r="C42" s="9">
        <v>2000</v>
      </c>
      <c r="E42" s="63">
        <v>0</v>
      </c>
      <c r="F42" s="11">
        <v>0</v>
      </c>
      <c r="G42" s="11">
        <v>500</v>
      </c>
      <c r="H42" s="11">
        <f>252+77</f>
        <v>329</v>
      </c>
      <c r="I42" s="11">
        <v>0</v>
      </c>
      <c r="J42" s="11">
        <v>0</v>
      </c>
      <c r="K42" s="11">
        <f>500+51.95+62.6</f>
        <v>614.55000000000007</v>
      </c>
      <c r="L42" s="11">
        <v>0</v>
      </c>
      <c r="M42" s="11">
        <v>0</v>
      </c>
      <c r="N42" s="11">
        <f>300.2</f>
        <v>300.2</v>
      </c>
      <c r="O42" s="11">
        <v>233.76</v>
      </c>
      <c r="P42" s="11">
        <v>0</v>
      </c>
      <c r="Q42" s="67">
        <f t="shared" si="7"/>
        <v>1977.5100000000002</v>
      </c>
      <c r="R42" s="20">
        <f>Q42-C42</f>
        <v>-22.489999999999782</v>
      </c>
      <c r="T42" s="3" t="s">
        <v>102</v>
      </c>
    </row>
    <row r="43" spans="1:20" x14ac:dyDescent="0.45">
      <c r="A43" s="3" t="s">
        <v>104</v>
      </c>
      <c r="B43" s="3" t="s">
        <v>105</v>
      </c>
      <c r="C43" s="9">
        <v>240</v>
      </c>
      <c r="E43" s="63">
        <v>0</v>
      </c>
      <c r="F43" s="11">
        <v>0</v>
      </c>
      <c r="G43" s="11">
        <v>72</v>
      </c>
      <c r="H43" s="11">
        <v>24</v>
      </c>
      <c r="I43" s="11">
        <v>0</v>
      </c>
      <c r="J43" s="11">
        <f>24*5</f>
        <v>120</v>
      </c>
      <c r="K43" s="11">
        <f>24*2</f>
        <v>48</v>
      </c>
      <c r="L43" s="11">
        <v>0</v>
      </c>
      <c r="M43" s="11">
        <v>0</v>
      </c>
      <c r="N43" s="11">
        <f>35+35+35+35+35</f>
        <v>175</v>
      </c>
      <c r="O43" s="11">
        <v>24</v>
      </c>
      <c r="P43" s="11">
        <v>0</v>
      </c>
      <c r="Q43" s="67">
        <f t="shared" si="7"/>
        <v>463</v>
      </c>
      <c r="R43" s="20">
        <f t="shared" si="5"/>
        <v>223</v>
      </c>
      <c r="T43" s="3" t="s">
        <v>104</v>
      </c>
    </row>
    <row r="44" spans="1:20" x14ac:dyDescent="0.45">
      <c r="A44" s="3" t="s">
        <v>106</v>
      </c>
      <c r="B44" s="3" t="s">
        <v>107</v>
      </c>
      <c r="C44" s="9">
        <v>345</v>
      </c>
      <c r="E44" s="63">
        <v>0</v>
      </c>
      <c r="F44" s="11">
        <v>0</v>
      </c>
      <c r="G44" s="11">
        <v>0</v>
      </c>
      <c r="H44" s="11">
        <v>0</v>
      </c>
      <c r="I44" s="11">
        <f>60+295</f>
        <v>355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20">
        <f t="shared" si="7"/>
        <v>355</v>
      </c>
      <c r="R44" s="20">
        <f t="shared" si="5"/>
        <v>10</v>
      </c>
      <c r="T44" s="3" t="s">
        <v>106</v>
      </c>
    </row>
    <row r="45" spans="1:20" x14ac:dyDescent="0.45">
      <c r="A45" s="3" t="s">
        <v>108</v>
      </c>
      <c r="B45" s="3" t="s">
        <v>109</v>
      </c>
      <c r="C45" s="9">
        <v>179</v>
      </c>
      <c r="E45" s="63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179</v>
      </c>
      <c r="M45" s="11">
        <v>0</v>
      </c>
      <c r="N45" s="11">
        <v>0</v>
      </c>
      <c r="O45" s="11">
        <v>0</v>
      </c>
      <c r="P45" s="11">
        <v>0</v>
      </c>
      <c r="Q45" s="20">
        <f t="shared" si="7"/>
        <v>179</v>
      </c>
      <c r="R45" s="20">
        <f t="shared" si="5"/>
        <v>0</v>
      </c>
      <c r="T45" s="3" t="s">
        <v>108</v>
      </c>
    </row>
    <row r="46" spans="1:20" x14ac:dyDescent="0.45">
      <c r="A46" s="3" t="s">
        <v>110</v>
      </c>
      <c r="B46" s="3" t="s">
        <v>111</v>
      </c>
      <c r="C46" s="9">
        <v>4200</v>
      </c>
      <c r="E46" s="63">
        <v>0</v>
      </c>
      <c r="F46" s="11">
        <v>0</v>
      </c>
      <c r="G46" s="11">
        <v>1345</v>
      </c>
      <c r="H46" s="11">
        <f>4755-65-65</f>
        <v>4625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67">
        <f t="shared" si="7"/>
        <v>5970</v>
      </c>
      <c r="R46" s="20">
        <f t="shared" si="5"/>
        <v>1770</v>
      </c>
      <c r="T46" s="3" t="s">
        <v>110</v>
      </c>
    </row>
    <row r="47" spans="1:20" x14ac:dyDescent="0.45">
      <c r="A47" s="3" t="s">
        <v>112</v>
      </c>
      <c r="B47" s="3" t="s">
        <v>113</v>
      </c>
      <c r="C47" s="9">
        <v>200</v>
      </c>
      <c r="E47" s="63">
        <v>0</v>
      </c>
      <c r="F47" s="11">
        <v>0</v>
      </c>
      <c r="G47" s="11">
        <v>0</v>
      </c>
      <c r="H47" s="11">
        <f>65*4</f>
        <v>260</v>
      </c>
      <c r="I47" s="11">
        <f>65</f>
        <v>65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67">
        <f t="shared" si="7"/>
        <v>325</v>
      </c>
      <c r="R47" s="20">
        <f t="shared" si="5"/>
        <v>125</v>
      </c>
      <c r="T47" s="3" t="s">
        <v>112</v>
      </c>
    </row>
    <row r="48" spans="1:20" x14ac:dyDescent="0.45">
      <c r="A48" s="3" t="s">
        <v>114</v>
      </c>
      <c r="B48" s="3" t="s">
        <v>115</v>
      </c>
      <c r="C48" s="9">
        <v>3950</v>
      </c>
      <c r="E48" s="63">
        <v>0</v>
      </c>
      <c r="F48" s="11">
        <v>0</v>
      </c>
      <c r="G48" s="11">
        <v>0</v>
      </c>
      <c r="H48" s="11">
        <f>220.89+348.7+12.95+1345</f>
        <v>1927.54</v>
      </c>
      <c r="I48" s="11">
        <f>348.75+12.95</f>
        <v>361.7</v>
      </c>
      <c r="J48" s="11">
        <v>0</v>
      </c>
      <c r="K48" s="11">
        <f>250+839.16+618.27</f>
        <v>1707.4299999999998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67">
        <f t="shared" si="7"/>
        <v>3996.6699999999996</v>
      </c>
      <c r="R48" s="20">
        <f t="shared" si="5"/>
        <v>46.669999999999618</v>
      </c>
      <c r="T48" s="3" t="s">
        <v>114</v>
      </c>
    </row>
    <row r="49" spans="1:20" x14ac:dyDescent="0.45">
      <c r="A49" s="3" t="s">
        <v>116</v>
      </c>
      <c r="B49" s="3" t="s">
        <v>117</v>
      </c>
      <c r="C49" s="9">
        <v>1635</v>
      </c>
      <c r="E49" s="63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495</v>
      </c>
      <c r="Q49" s="67">
        <f t="shared" si="7"/>
        <v>495</v>
      </c>
      <c r="R49" s="20">
        <f t="shared" si="5"/>
        <v>-1140</v>
      </c>
      <c r="T49" s="3" t="s">
        <v>116</v>
      </c>
    </row>
    <row r="50" spans="1:20" x14ac:dyDescent="0.45">
      <c r="A50" s="3" t="s">
        <v>118</v>
      </c>
      <c r="B50" s="3" t="s">
        <v>119</v>
      </c>
      <c r="C50" s="9">
        <v>1645</v>
      </c>
      <c r="E50" s="63">
        <v>592.08000000000004</v>
      </c>
      <c r="F50" s="11">
        <v>0</v>
      </c>
      <c r="G50" s="11">
        <v>0</v>
      </c>
      <c r="H50" s="11">
        <v>0</v>
      </c>
      <c r="I50" s="11">
        <f>201.54</f>
        <v>201.54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495</v>
      </c>
      <c r="Q50" s="67">
        <f t="shared" si="7"/>
        <v>1288.6199999999999</v>
      </c>
      <c r="R50" s="20">
        <f t="shared" si="5"/>
        <v>-356.38000000000011</v>
      </c>
      <c r="T50" s="3" t="s">
        <v>118</v>
      </c>
    </row>
    <row r="51" spans="1:20" x14ac:dyDescent="0.45">
      <c r="A51" s="3" t="s">
        <v>120</v>
      </c>
      <c r="B51" s="3" t="s">
        <v>121</v>
      </c>
      <c r="C51" s="9">
        <v>500</v>
      </c>
      <c r="E51" s="63">
        <v>0</v>
      </c>
      <c r="F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500</v>
      </c>
      <c r="M51" s="11">
        <v>0</v>
      </c>
      <c r="N51" s="11">
        <v>0</v>
      </c>
      <c r="O51" s="11">
        <v>0</v>
      </c>
      <c r="P51" s="11">
        <v>0</v>
      </c>
      <c r="Q51" s="67">
        <f t="shared" si="7"/>
        <v>500</v>
      </c>
      <c r="R51" s="20">
        <f t="shared" si="5"/>
        <v>0</v>
      </c>
      <c r="T51" s="3" t="s">
        <v>120</v>
      </c>
    </row>
    <row r="52" spans="1:20" x14ac:dyDescent="0.45">
      <c r="A52" s="1" t="s">
        <v>122</v>
      </c>
      <c r="B52" s="1"/>
      <c r="C52" s="14">
        <f>SUM(C34:C51)</f>
        <v>36719</v>
      </c>
      <c r="E52" s="63">
        <f t="shared" ref="E52:P52" si="8">SUM(E34:E51)</f>
        <v>2050.77</v>
      </c>
      <c r="F52" s="11">
        <f t="shared" si="8"/>
        <v>2688</v>
      </c>
      <c r="G52" s="11">
        <f>SUM(G34:G50)</f>
        <v>5310.47</v>
      </c>
      <c r="H52" s="11">
        <f t="shared" si="8"/>
        <v>9013.5400000000009</v>
      </c>
      <c r="I52" s="11">
        <f t="shared" si="8"/>
        <v>2423.2399999999998</v>
      </c>
      <c r="J52" s="11">
        <f t="shared" si="8"/>
        <v>6343.67</v>
      </c>
      <c r="K52" s="11">
        <f t="shared" si="8"/>
        <v>3612.19</v>
      </c>
      <c r="L52" s="11">
        <f t="shared" si="8"/>
        <v>2983</v>
      </c>
      <c r="M52" s="11">
        <f t="shared" si="8"/>
        <v>1579.17</v>
      </c>
      <c r="N52" s="11">
        <f>SUM(N35:N51)</f>
        <v>5486.89</v>
      </c>
      <c r="O52" s="11">
        <f t="shared" si="8"/>
        <v>1313.34</v>
      </c>
      <c r="P52" s="11">
        <f t="shared" si="8"/>
        <v>2250</v>
      </c>
      <c r="Q52" s="19">
        <f>SUM(E52:P52)</f>
        <v>45054.28</v>
      </c>
      <c r="R52" s="19">
        <f>Q52-C52</f>
        <v>8335.2799999999988</v>
      </c>
      <c r="T52" s="1" t="s">
        <v>122</v>
      </c>
    </row>
    <row r="53" spans="1:20" x14ac:dyDescent="0.45">
      <c r="A53" s="1"/>
      <c r="B53" s="1"/>
      <c r="C53" s="7"/>
      <c r="T53" s="1"/>
    </row>
    <row r="54" spans="1:20" x14ac:dyDescent="0.45">
      <c r="A54" s="2" t="s">
        <v>123</v>
      </c>
      <c r="B54" s="1"/>
      <c r="C54" s="7"/>
      <c r="E54" s="64" t="s">
        <v>18</v>
      </c>
      <c r="F54" s="17" t="s">
        <v>19</v>
      </c>
      <c r="G54" s="17" t="s">
        <v>20</v>
      </c>
      <c r="H54" s="17" t="s">
        <v>86</v>
      </c>
      <c r="I54" s="17" t="s">
        <v>22</v>
      </c>
      <c r="J54" s="17" t="s">
        <v>23</v>
      </c>
      <c r="K54" s="17" t="s">
        <v>24</v>
      </c>
      <c r="L54" s="16" t="s">
        <v>25</v>
      </c>
      <c r="M54" s="16" t="s">
        <v>26</v>
      </c>
      <c r="N54" s="16" t="s">
        <v>27</v>
      </c>
      <c r="O54" s="16" t="s">
        <v>28</v>
      </c>
      <c r="P54" s="16" t="s">
        <v>29</v>
      </c>
      <c r="Q54" s="16" t="s">
        <v>30</v>
      </c>
      <c r="R54" s="16" t="s">
        <v>31</v>
      </c>
      <c r="T54" s="2" t="s">
        <v>123</v>
      </c>
    </row>
    <row r="55" spans="1:20" x14ac:dyDescent="0.45">
      <c r="A55" s="1" t="s">
        <v>124</v>
      </c>
      <c r="B55" s="1"/>
      <c r="C55" s="7">
        <v>2500</v>
      </c>
      <c r="E55" s="63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f>500+1924.48</f>
        <v>2424.48</v>
      </c>
      <c r="M55" s="11">
        <f>-283.04+441.19</f>
        <v>158.14999999999998</v>
      </c>
      <c r="N55" s="11">
        <v>0</v>
      </c>
      <c r="O55" s="11">
        <v>0</v>
      </c>
      <c r="P55" s="11">
        <v>0</v>
      </c>
      <c r="Q55" s="67">
        <f t="shared" ref="Q55:Q56" si="9">SUM(E55:P55)</f>
        <v>2582.63</v>
      </c>
      <c r="R55" s="20">
        <f t="shared" ref="R55:R56" si="10">Q55-C55</f>
        <v>82.630000000000109</v>
      </c>
      <c r="T55" s="1" t="s">
        <v>124</v>
      </c>
    </row>
    <row r="56" spans="1:20" x14ac:dyDescent="0.45">
      <c r="A56" s="3" t="s">
        <v>125</v>
      </c>
      <c r="B56" s="3"/>
      <c r="C56" s="9">
        <v>1000</v>
      </c>
      <c r="E56" s="63">
        <v>0</v>
      </c>
      <c r="F56" s="11">
        <v>0</v>
      </c>
      <c r="G56" s="11">
        <v>0</v>
      </c>
      <c r="H56" s="11">
        <v>0</v>
      </c>
      <c r="I56" s="11">
        <v>0</v>
      </c>
      <c r="J56" s="11">
        <v>3800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67">
        <f t="shared" si="9"/>
        <v>3800</v>
      </c>
      <c r="R56" s="20">
        <f t="shared" si="10"/>
        <v>2800</v>
      </c>
      <c r="T56" s="3" t="s">
        <v>125</v>
      </c>
    </row>
    <row r="57" spans="1:20" x14ac:dyDescent="0.45">
      <c r="A57" s="1" t="s">
        <v>126</v>
      </c>
      <c r="B57" s="1"/>
      <c r="C57" s="14">
        <f>SUM(C55+C56)</f>
        <v>3500</v>
      </c>
      <c r="E57" s="63">
        <f>SUM(E55:E56)</f>
        <v>0</v>
      </c>
      <c r="F57" s="11">
        <f t="shared" ref="F57:P57" si="11">SUM(F55:F56)</f>
        <v>0</v>
      </c>
      <c r="G57" s="11">
        <f t="shared" si="11"/>
        <v>0</v>
      </c>
      <c r="H57" s="11">
        <f t="shared" si="11"/>
        <v>0</v>
      </c>
      <c r="I57" s="11">
        <f t="shared" si="11"/>
        <v>0</v>
      </c>
      <c r="J57" s="11">
        <f t="shared" si="11"/>
        <v>3800</v>
      </c>
      <c r="K57" s="11">
        <f t="shared" si="11"/>
        <v>0</v>
      </c>
      <c r="L57" s="11">
        <f t="shared" si="11"/>
        <v>2424.48</v>
      </c>
      <c r="M57" s="11">
        <f t="shared" si="11"/>
        <v>158.14999999999998</v>
      </c>
      <c r="N57" s="11">
        <f t="shared" si="11"/>
        <v>0</v>
      </c>
      <c r="O57" s="11">
        <f t="shared" si="11"/>
        <v>0</v>
      </c>
      <c r="P57" s="11">
        <f t="shared" si="11"/>
        <v>0</v>
      </c>
      <c r="Q57" s="19">
        <f>SUM(E57:P57)</f>
        <v>6382.6299999999992</v>
      </c>
      <c r="R57" s="19">
        <f>Q57-C57</f>
        <v>2882.6299999999992</v>
      </c>
      <c r="T57" s="1" t="s">
        <v>126</v>
      </c>
    </row>
    <row r="58" spans="1:20" x14ac:dyDescent="0.45">
      <c r="A58" s="1"/>
      <c r="B58" s="1"/>
      <c r="C58" s="7"/>
      <c r="T58" s="1"/>
    </row>
    <row r="59" spans="1:20" x14ac:dyDescent="0.45">
      <c r="A59" s="2" t="s">
        <v>127</v>
      </c>
      <c r="B59" s="1"/>
      <c r="C59" s="7"/>
      <c r="E59" s="64" t="s">
        <v>18</v>
      </c>
      <c r="F59" s="17" t="s">
        <v>19</v>
      </c>
      <c r="G59" s="17" t="s">
        <v>20</v>
      </c>
      <c r="H59" s="17" t="s">
        <v>86</v>
      </c>
      <c r="I59" s="17" t="s">
        <v>22</v>
      </c>
      <c r="J59" s="17" t="s">
        <v>23</v>
      </c>
      <c r="K59" s="17" t="s">
        <v>24</v>
      </c>
      <c r="L59" s="16" t="s">
        <v>25</v>
      </c>
      <c r="M59" s="16" t="s">
        <v>26</v>
      </c>
      <c r="N59" s="16" t="s">
        <v>27</v>
      </c>
      <c r="O59" s="16" t="s">
        <v>28</v>
      </c>
      <c r="P59" s="16" t="s">
        <v>29</v>
      </c>
      <c r="Q59" s="16" t="s">
        <v>30</v>
      </c>
      <c r="R59" s="16" t="s">
        <v>31</v>
      </c>
      <c r="T59" s="2" t="s">
        <v>127</v>
      </c>
    </row>
    <row r="60" spans="1:20" x14ac:dyDescent="0.45">
      <c r="A60" s="1" t="s">
        <v>128</v>
      </c>
      <c r="B60" s="1" t="s">
        <v>129</v>
      </c>
      <c r="C60" s="7">
        <v>300</v>
      </c>
      <c r="E60" s="63">
        <v>0</v>
      </c>
      <c r="F60" s="11">
        <v>0</v>
      </c>
      <c r="G60" s="11">
        <v>0</v>
      </c>
      <c r="H60" s="11">
        <v>250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67">
        <f t="shared" ref="Q60:Q69" si="12">SUM(E60:P60)</f>
        <v>250</v>
      </c>
      <c r="R60" s="20">
        <f t="shared" ref="R60:R69" si="13">Q60-C60</f>
        <v>-50</v>
      </c>
      <c r="T60" s="1" t="s">
        <v>128</v>
      </c>
    </row>
    <row r="61" spans="1:20" x14ac:dyDescent="0.45">
      <c r="A61" s="1" t="s">
        <v>130</v>
      </c>
      <c r="B61" s="1"/>
      <c r="C61" s="7">
        <v>18</v>
      </c>
      <c r="E61" s="63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20">
        <f t="shared" si="12"/>
        <v>0</v>
      </c>
      <c r="R61" s="20">
        <f t="shared" si="13"/>
        <v>-18</v>
      </c>
      <c r="T61" s="1" t="s">
        <v>130</v>
      </c>
    </row>
    <row r="62" spans="1:20" x14ac:dyDescent="0.45">
      <c r="A62" s="1" t="s">
        <v>131</v>
      </c>
      <c r="B62" s="1"/>
      <c r="C62" s="7">
        <v>300</v>
      </c>
      <c r="E62" s="63">
        <v>0</v>
      </c>
      <c r="F62" s="11">
        <v>0</v>
      </c>
      <c r="G62" s="11">
        <v>0</v>
      </c>
      <c r="H62" s="11">
        <v>0</v>
      </c>
      <c r="I62" s="11">
        <v>95.04</v>
      </c>
      <c r="J62" s="11">
        <v>0</v>
      </c>
      <c r="K62" s="11">
        <v>0</v>
      </c>
      <c r="L62" s="11">
        <v>0</v>
      </c>
      <c r="M62" s="11">
        <v>0</v>
      </c>
      <c r="N62" s="11">
        <v>280</v>
      </c>
      <c r="O62" s="11">
        <v>0</v>
      </c>
      <c r="P62" s="11">
        <v>0</v>
      </c>
      <c r="Q62" s="67">
        <f t="shared" si="12"/>
        <v>375.04</v>
      </c>
      <c r="R62" s="20">
        <f t="shared" si="13"/>
        <v>75.04000000000002</v>
      </c>
      <c r="T62" s="1" t="s">
        <v>131</v>
      </c>
    </row>
    <row r="63" spans="1:20" x14ac:dyDescent="0.45">
      <c r="A63" s="3" t="s">
        <v>132</v>
      </c>
      <c r="B63" s="3" t="s">
        <v>133</v>
      </c>
      <c r="C63" s="9">
        <v>100</v>
      </c>
      <c r="E63" s="63">
        <v>0</v>
      </c>
      <c r="F63" s="11">
        <v>0</v>
      </c>
      <c r="G63" s="11">
        <v>0</v>
      </c>
      <c r="H63" s="11" t="s">
        <v>134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20">
        <f t="shared" si="12"/>
        <v>0</v>
      </c>
      <c r="R63" s="20">
        <f t="shared" si="13"/>
        <v>-100</v>
      </c>
      <c r="T63" s="3" t="s">
        <v>132</v>
      </c>
    </row>
    <row r="64" spans="1:20" x14ac:dyDescent="0.45">
      <c r="A64" s="3" t="s">
        <v>135</v>
      </c>
      <c r="B64" s="3" t="s">
        <v>136</v>
      </c>
      <c r="C64" s="9">
        <v>200</v>
      </c>
      <c r="E64" s="63">
        <v>92.35</v>
      </c>
      <c r="F64" s="11">
        <v>49.58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75.66</v>
      </c>
      <c r="O64" s="11">
        <v>0</v>
      </c>
      <c r="P64" s="11">
        <v>0</v>
      </c>
      <c r="Q64" s="20">
        <f t="shared" si="12"/>
        <v>217.59</v>
      </c>
      <c r="R64" s="20">
        <f t="shared" si="13"/>
        <v>17.590000000000003</v>
      </c>
      <c r="T64" s="3" t="s">
        <v>135</v>
      </c>
    </row>
    <row r="65" spans="1:20" x14ac:dyDescent="0.45">
      <c r="A65" s="3" t="s">
        <v>137</v>
      </c>
      <c r="B65" s="3" t="s">
        <v>138</v>
      </c>
      <c r="C65" s="9">
        <v>400</v>
      </c>
      <c r="E65" s="63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f>43.23+81.25</f>
        <v>124.47999999999999</v>
      </c>
      <c r="N65" s="11">
        <v>0</v>
      </c>
      <c r="O65" s="11">
        <v>0</v>
      </c>
      <c r="P65" s="11">
        <v>0</v>
      </c>
      <c r="Q65" s="20">
        <f t="shared" si="12"/>
        <v>124.47999999999999</v>
      </c>
      <c r="R65" s="20">
        <f t="shared" si="13"/>
        <v>-275.52</v>
      </c>
      <c r="T65" s="3" t="s">
        <v>137</v>
      </c>
    </row>
    <row r="66" spans="1:20" x14ac:dyDescent="0.45">
      <c r="A66" s="3" t="s">
        <v>139</v>
      </c>
      <c r="B66" s="3" t="s">
        <v>140</v>
      </c>
      <c r="C66" s="9">
        <v>6000</v>
      </c>
      <c r="E66" s="63">
        <f>320+592.08</f>
        <v>912.08</v>
      </c>
      <c r="F66" s="11">
        <v>365</v>
      </c>
      <c r="G66" s="11">
        <v>1398.12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20">
        <f t="shared" si="12"/>
        <v>2675.2</v>
      </c>
      <c r="R66" s="20">
        <f t="shared" si="13"/>
        <v>-3324.8</v>
      </c>
      <c r="T66" s="3" t="s">
        <v>139</v>
      </c>
    </row>
    <row r="67" spans="1:20" x14ac:dyDescent="0.45">
      <c r="A67" s="1" t="s">
        <v>141</v>
      </c>
      <c r="B67" s="1" t="s">
        <v>142</v>
      </c>
      <c r="C67" s="7">
        <v>1200</v>
      </c>
      <c r="E67" s="63">
        <v>100</v>
      </c>
      <c r="F67" s="11">
        <v>100</v>
      </c>
      <c r="G67" s="11">
        <v>100</v>
      </c>
      <c r="H67" s="11">
        <v>100</v>
      </c>
      <c r="I67" s="11">
        <v>100</v>
      </c>
      <c r="J67" s="11">
        <v>100</v>
      </c>
      <c r="K67" s="11">
        <v>100</v>
      </c>
      <c r="L67" s="11">
        <v>100</v>
      </c>
      <c r="M67" s="11">
        <v>100</v>
      </c>
      <c r="N67" s="11">
        <v>100</v>
      </c>
      <c r="O67" s="11">
        <v>100</v>
      </c>
      <c r="P67" s="11">
        <v>100</v>
      </c>
      <c r="Q67" s="67">
        <f t="shared" si="12"/>
        <v>1200</v>
      </c>
      <c r="R67" s="20">
        <f t="shared" si="13"/>
        <v>0</v>
      </c>
      <c r="T67" s="1" t="s">
        <v>141</v>
      </c>
    </row>
    <row r="68" spans="1:20" x14ac:dyDescent="0.45">
      <c r="A68" s="1" t="s">
        <v>143</v>
      </c>
      <c r="B68" s="1" t="s">
        <v>144</v>
      </c>
      <c r="C68" s="7">
        <v>900</v>
      </c>
      <c r="E68" s="63">
        <v>23.33</v>
      </c>
      <c r="F68" s="11">
        <v>23.33</v>
      </c>
      <c r="G68" s="11">
        <v>23.33</v>
      </c>
      <c r="H68" s="11">
        <v>23.33</v>
      </c>
      <c r="I68" s="11">
        <v>23.33</v>
      </c>
      <c r="J68" s="11">
        <v>23.33</v>
      </c>
      <c r="K68" s="11">
        <v>23.37</v>
      </c>
      <c r="L68" s="11">
        <v>23.33</v>
      </c>
      <c r="M68" s="11">
        <v>23.33</v>
      </c>
      <c r="N68" s="11">
        <v>23.33</v>
      </c>
      <c r="O68" s="11">
        <v>23.33</v>
      </c>
      <c r="P68" s="11">
        <v>23.33</v>
      </c>
      <c r="Q68" s="67">
        <f t="shared" si="12"/>
        <v>279.99999999999994</v>
      </c>
      <c r="R68" s="20">
        <f t="shared" si="13"/>
        <v>-620</v>
      </c>
      <c r="T68" s="1" t="s">
        <v>143</v>
      </c>
    </row>
    <row r="69" spans="1:20" x14ac:dyDescent="0.45">
      <c r="A69" s="1" t="s">
        <v>145</v>
      </c>
      <c r="B69" s="1" t="s">
        <v>146</v>
      </c>
      <c r="C69" s="7">
        <v>1368</v>
      </c>
      <c r="E69" s="63">
        <f>126.61+15.85+18.53-1.05</f>
        <v>159.94</v>
      </c>
      <c r="F69" s="11">
        <f>81.94+15.6+22.11</f>
        <v>119.64999999999999</v>
      </c>
      <c r="G69" s="11">
        <f>20.65+15.7+113.39</f>
        <v>149.74</v>
      </c>
      <c r="H69" s="11">
        <f>15.8+84.65+11.39</f>
        <v>111.84</v>
      </c>
      <c r="I69" s="11">
        <f>83.94+15.7+0.12+10.73</f>
        <v>110.49000000000001</v>
      </c>
      <c r="J69" s="11">
        <f>95.72+15.7+12.03</f>
        <v>123.45</v>
      </c>
      <c r="K69" s="11">
        <f>108.99+15.85+26.81</f>
        <v>151.64999999999998</v>
      </c>
      <c r="L69" s="11">
        <f>68.67+15.65+13.49</f>
        <v>97.81</v>
      </c>
      <c r="M69" s="11">
        <f>128.99+15.5+13.33</f>
        <v>157.82000000000002</v>
      </c>
      <c r="N69" s="11">
        <f>120.99+15.75+12.03</f>
        <v>148.77000000000001</v>
      </c>
      <c r="O69" s="11">
        <f>224.79+15.95+21.46</f>
        <v>262.2</v>
      </c>
      <c r="P69" s="57">
        <f>132.72+15.8+12.04</f>
        <v>160.56</v>
      </c>
      <c r="Q69" s="67">
        <f t="shared" si="12"/>
        <v>1753.9199999999998</v>
      </c>
      <c r="R69" s="20">
        <f t="shared" si="13"/>
        <v>385.91999999999985</v>
      </c>
      <c r="T69" s="1" t="s">
        <v>145</v>
      </c>
    </row>
    <row r="70" spans="1:20" x14ac:dyDescent="0.45">
      <c r="A70" s="1" t="s">
        <v>147</v>
      </c>
      <c r="B70" s="1"/>
      <c r="C70" s="14">
        <f>SUM(C60:C69)</f>
        <v>10786</v>
      </c>
      <c r="E70" s="63">
        <f>SUM(E60:E69)</f>
        <v>1287.7</v>
      </c>
      <c r="F70" s="11">
        <f t="shared" ref="F70:O70" si="14">SUM(F60:F69)</f>
        <v>657.56</v>
      </c>
      <c r="G70" s="11">
        <f t="shared" si="14"/>
        <v>1671.1899999999998</v>
      </c>
      <c r="H70" s="11">
        <f t="shared" si="14"/>
        <v>485.16999999999996</v>
      </c>
      <c r="I70" s="11">
        <f t="shared" si="14"/>
        <v>328.86</v>
      </c>
      <c r="J70" s="11">
        <f t="shared" si="14"/>
        <v>246.78</v>
      </c>
      <c r="K70" s="11">
        <f t="shared" si="14"/>
        <v>275.02</v>
      </c>
      <c r="L70" s="11">
        <f t="shared" si="14"/>
        <v>221.14</v>
      </c>
      <c r="M70" s="11">
        <f t="shared" si="14"/>
        <v>405.63</v>
      </c>
      <c r="N70" s="11">
        <f t="shared" si="14"/>
        <v>627.76</v>
      </c>
      <c r="O70" s="11">
        <f t="shared" si="14"/>
        <v>385.53</v>
      </c>
      <c r="P70" s="11">
        <f>SUM(P60:P69)</f>
        <v>283.89</v>
      </c>
      <c r="Q70" s="19">
        <f>SUM(E70:P70)</f>
        <v>6876.23</v>
      </c>
      <c r="R70" s="19">
        <f>Q70-C70</f>
        <v>-3909.7700000000004</v>
      </c>
      <c r="T70" s="1" t="s">
        <v>147</v>
      </c>
    </row>
    <row r="71" spans="1:20" x14ac:dyDescent="0.45">
      <c r="A71" s="1"/>
      <c r="B71" s="1"/>
      <c r="C71" s="7"/>
      <c r="T71" s="1"/>
    </row>
    <row r="72" spans="1:20" x14ac:dyDescent="0.45">
      <c r="A72" s="1" t="s">
        <v>148</v>
      </c>
      <c r="B72" s="1"/>
      <c r="C72" s="7">
        <f>C30</f>
        <v>49205</v>
      </c>
      <c r="E72" s="63">
        <f>E30</f>
        <v>2897</v>
      </c>
      <c r="F72" s="11">
        <f t="shared" ref="F72:P72" si="15">F30</f>
        <v>4845</v>
      </c>
      <c r="G72" s="11">
        <f t="shared" si="15"/>
        <v>2405.4899999999998</v>
      </c>
      <c r="H72" s="11">
        <f t="shared" si="15"/>
        <v>2984.73</v>
      </c>
      <c r="I72" s="11">
        <f t="shared" si="15"/>
        <v>2669</v>
      </c>
      <c r="J72" s="11">
        <f t="shared" si="15"/>
        <v>4463</v>
      </c>
      <c r="K72" s="11">
        <f t="shared" si="15"/>
        <v>1688</v>
      </c>
      <c r="L72" s="11">
        <f t="shared" si="15"/>
        <v>4627</v>
      </c>
      <c r="M72" s="11">
        <f t="shared" si="15"/>
        <v>2568</v>
      </c>
      <c r="N72" s="11">
        <f t="shared" si="15"/>
        <v>11961</v>
      </c>
      <c r="O72" s="11">
        <f t="shared" si="15"/>
        <v>2107</v>
      </c>
      <c r="P72" s="11">
        <f t="shared" si="15"/>
        <v>2555</v>
      </c>
      <c r="Q72" s="20">
        <f>SUM(E72:P72)</f>
        <v>45770.22</v>
      </c>
      <c r="T72" s="1" t="s">
        <v>148</v>
      </c>
    </row>
    <row r="73" spans="1:20" x14ac:dyDescent="0.45">
      <c r="A73" s="1"/>
      <c r="B73" s="1"/>
      <c r="C73" s="7"/>
      <c r="T73" s="1"/>
    </row>
    <row r="74" spans="1:20" x14ac:dyDescent="0.45">
      <c r="A74" s="1" t="s">
        <v>149</v>
      </c>
      <c r="B74" s="1"/>
      <c r="C74" s="7">
        <f>SUM(C52+C57+C70)</f>
        <v>51005</v>
      </c>
      <c r="E74" s="63">
        <f>E52+E57+E70</f>
        <v>3338.4700000000003</v>
      </c>
      <c r="F74" s="11">
        <f t="shared" ref="F74:P74" si="16">F52+F57+F70</f>
        <v>3345.56</v>
      </c>
      <c r="G74" s="11">
        <f t="shared" si="16"/>
        <v>6981.66</v>
      </c>
      <c r="H74" s="11">
        <f t="shared" si="16"/>
        <v>9498.7100000000009</v>
      </c>
      <c r="I74" s="11">
        <f t="shared" si="16"/>
        <v>2752.1</v>
      </c>
      <c r="J74" s="11">
        <f t="shared" si="16"/>
        <v>10390.450000000001</v>
      </c>
      <c r="K74" s="11">
        <f t="shared" si="16"/>
        <v>3887.21</v>
      </c>
      <c r="L74" s="11">
        <f t="shared" si="16"/>
        <v>5628.62</v>
      </c>
      <c r="M74" s="11">
        <f t="shared" si="16"/>
        <v>2142.9500000000003</v>
      </c>
      <c r="N74" s="11">
        <f t="shared" si="16"/>
        <v>6114.6500000000005</v>
      </c>
      <c r="O74" s="11">
        <f t="shared" si="16"/>
        <v>1698.87</v>
      </c>
      <c r="P74" s="11">
        <f t="shared" si="16"/>
        <v>2533.89</v>
      </c>
      <c r="Q74" s="20">
        <f>SUM(E74:P74)</f>
        <v>58313.14</v>
      </c>
      <c r="T74" s="1" t="s">
        <v>150</v>
      </c>
    </row>
    <row r="76" spans="1:20" s="6" customFormat="1" x14ac:dyDescent="0.45">
      <c r="A76" s="1" t="s">
        <v>151</v>
      </c>
      <c r="B76" s="1"/>
      <c r="C76" s="5"/>
      <c r="D76" s="5"/>
      <c r="E76" s="62">
        <f>SUM(E72-E74)</f>
        <v>-441.47000000000025</v>
      </c>
      <c r="F76" s="7">
        <f t="shared" ref="F76:P76" si="17">SUM(F72-F74)</f>
        <v>1499.44</v>
      </c>
      <c r="G76" s="7">
        <f t="shared" si="17"/>
        <v>-4576.17</v>
      </c>
      <c r="H76" s="7">
        <f t="shared" si="17"/>
        <v>-6513.9800000000014</v>
      </c>
      <c r="I76" s="7">
        <f t="shared" si="17"/>
        <v>-83.099999999999909</v>
      </c>
      <c r="J76" s="7">
        <f>SUM(J72-J74)</f>
        <v>-5927.4500000000007</v>
      </c>
      <c r="K76" s="7">
        <f t="shared" si="17"/>
        <v>-2199.21</v>
      </c>
      <c r="L76" s="7">
        <f t="shared" si="17"/>
        <v>-1001.6199999999999</v>
      </c>
      <c r="M76" s="7">
        <f t="shared" si="17"/>
        <v>425.04999999999973</v>
      </c>
      <c r="N76" s="7">
        <f t="shared" si="17"/>
        <v>5846.3499999999995</v>
      </c>
      <c r="O76" s="7">
        <f t="shared" si="17"/>
        <v>408.13000000000011</v>
      </c>
      <c r="P76" s="7">
        <f t="shared" si="17"/>
        <v>21.110000000000127</v>
      </c>
      <c r="Q76" s="21">
        <f>Q72-Q74</f>
        <v>-12542.919999999998</v>
      </c>
      <c r="R76" s="7"/>
      <c r="T76" s="1" t="s">
        <v>152</v>
      </c>
    </row>
    <row r="78" spans="1:20" s="6" customFormat="1" x14ac:dyDescent="0.45">
      <c r="A78" s="1" t="s">
        <v>153</v>
      </c>
      <c r="B78" s="1"/>
      <c r="C78" s="1"/>
      <c r="D78" s="1"/>
      <c r="E78" s="62">
        <v>1458.69</v>
      </c>
      <c r="F78" s="58">
        <f>500+236</f>
        <v>736</v>
      </c>
      <c r="G78" s="7">
        <f>1398.12+100+152+2001.47+500+1392</f>
        <v>5543.59</v>
      </c>
      <c r="H78" s="7">
        <f>250</f>
        <v>250</v>
      </c>
      <c r="I78" s="7">
        <f>95.04+1848+201.54+1440+60</f>
        <v>3644.58</v>
      </c>
      <c r="J78" s="7">
        <f>77+3800+3800+2423.67</f>
        <v>10100.67</v>
      </c>
      <c r="K78" s="7">
        <f>500+364.55</f>
        <v>864.55</v>
      </c>
      <c r="L78" s="7">
        <f>2304+500</f>
        <v>2804</v>
      </c>
      <c r="M78" s="7">
        <f>470.36+124.48+620+620+310</f>
        <v>2144.84</v>
      </c>
      <c r="N78" s="7">
        <f>300.2+4410+123.62+75.66+280</f>
        <v>5189.4799999999996</v>
      </c>
      <c r="O78" s="7">
        <v>1313.34</v>
      </c>
      <c r="P78" s="7">
        <v>1260</v>
      </c>
      <c r="Q78" s="1"/>
      <c r="R78" s="7"/>
      <c r="T78" s="1" t="s">
        <v>153</v>
      </c>
    </row>
    <row r="79" spans="1:20" s="6" customFormat="1" x14ac:dyDescent="0.45">
      <c r="A79" s="1" t="s">
        <v>154</v>
      </c>
      <c r="B79" s="1"/>
      <c r="C79" s="1"/>
      <c r="D79" s="1"/>
      <c r="E79" s="62">
        <v>0</v>
      </c>
      <c r="F79" s="7">
        <v>1458.69</v>
      </c>
      <c r="G79" s="7">
        <f>1398.12+236+500+152+1392</f>
        <v>3678.12</v>
      </c>
      <c r="H79" s="7">
        <v>100</v>
      </c>
      <c r="I79" s="7">
        <f>2001.47+250+95.04+1848+201.54+1440</f>
        <v>5836.05</v>
      </c>
      <c r="J79" s="7">
        <f>60+77+2423.67</f>
        <v>2560.67</v>
      </c>
      <c r="K79" s="7">
        <v>0</v>
      </c>
      <c r="L79" s="7">
        <f>364.55+2304+500</f>
        <v>3168.55</v>
      </c>
      <c r="M79" s="7">
        <f>500+124.48+620+620+310</f>
        <v>2174.48</v>
      </c>
      <c r="N79" s="7">
        <f>470.36+123.62</f>
        <v>593.98</v>
      </c>
      <c r="O79" s="7">
        <f>300.2+4410+75.66+280+1313.34</f>
        <v>6379.2</v>
      </c>
      <c r="P79" s="7">
        <v>1260</v>
      </c>
      <c r="Q79" s="1"/>
      <c r="R79" s="7"/>
      <c r="T79" s="1" t="s">
        <v>154</v>
      </c>
    </row>
    <row r="80" spans="1:20" s="6" customFormat="1" x14ac:dyDescent="0.45">
      <c r="A80" s="1"/>
      <c r="B80" s="1"/>
      <c r="C80" s="1"/>
      <c r="D80" s="1"/>
      <c r="E80" s="6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"/>
      <c r="R80" s="7"/>
      <c r="T80" s="1"/>
    </row>
    <row r="81" spans="1:20" s="6" customFormat="1" x14ac:dyDescent="0.45">
      <c r="A81" s="1" t="s">
        <v>155</v>
      </c>
      <c r="B81" s="1"/>
      <c r="C81" s="1"/>
      <c r="D81" s="1"/>
      <c r="E81" s="62">
        <f t="shared" ref="E81:P81" si="18">SUM(E6+E30-E52-E57-E70+E78-E79)</f>
        <v>36275.780000000006</v>
      </c>
      <c r="F81" s="7">
        <f>SUM(F6+F30-F52-F57-F70+F78-F79)</f>
        <v>37052.530000000006</v>
      </c>
      <c r="G81" s="7">
        <f t="shared" si="18"/>
        <v>34341.83</v>
      </c>
      <c r="H81" s="7">
        <f t="shared" si="18"/>
        <v>27977.850000000006</v>
      </c>
      <c r="I81" s="7">
        <f t="shared" si="18"/>
        <v>25703.28000000001</v>
      </c>
      <c r="J81" s="7">
        <f t="shared" si="18"/>
        <v>27315.830000000009</v>
      </c>
      <c r="K81" s="7">
        <f t="shared" si="18"/>
        <v>25981.170000000009</v>
      </c>
      <c r="L81" s="7">
        <f t="shared" si="18"/>
        <v>24615.000000000011</v>
      </c>
      <c r="M81" s="7">
        <f t="shared" si="18"/>
        <v>25010.410000000007</v>
      </c>
      <c r="N81" s="7">
        <f t="shared" si="18"/>
        <v>35452.26</v>
      </c>
      <c r="O81" s="7">
        <f t="shared" si="18"/>
        <v>30794.530000000002</v>
      </c>
      <c r="P81" s="7">
        <f t="shared" si="18"/>
        <v>30815.64</v>
      </c>
      <c r="Q81" s="1"/>
      <c r="R81" s="7"/>
      <c r="T81" s="1" t="s">
        <v>155</v>
      </c>
    </row>
    <row r="82" spans="1:20" s="6" customFormat="1" x14ac:dyDescent="0.45">
      <c r="A82" s="1" t="s">
        <v>156</v>
      </c>
      <c r="B82" s="1"/>
      <c r="C82" s="1"/>
      <c r="D82" s="1"/>
      <c r="E82" s="6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"/>
      <c r="R82" s="7"/>
      <c r="T82" s="1" t="s">
        <v>156</v>
      </c>
    </row>
    <row r="83" spans="1:20" s="6" customFormat="1" x14ac:dyDescent="0.45">
      <c r="A83" s="1" t="s">
        <v>157</v>
      </c>
      <c r="B83" s="1"/>
      <c r="C83" s="1"/>
      <c r="D83" s="1"/>
      <c r="E83" s="6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"/>
      <c r="R83" s="7"/>
      <c r="T83" s="1" t="s">
        <v>157</v>
      </c>
    </row>
  </sheetData>
  <mergeCells count="12">
    <mergeCell ref="E1:E2"/>
    <mergeCell ref="F1:F2"/>
    <mergeCell ref="G1:G2"/>
    <mergeCell ref="H1:H2"/>
    <mergeCell ref="I1:I2"/>
    <mergeCell ref="P1:P2"/>
    <mergeCell ref="J1:J2"/>
    <mergeCell ref="K1:K2"/>
    <mergeCell ref="L1:L2"/>
    <mergeCell ref="M1:M2"/>
    <mergeCell ref="N1:N2"/>
    <mergeCell ref="O1:O2"/>
  </mergeCells>
  <pageMargins left="0.7" right="0.7" top="0.75" bottom="0.75" header="0.3" footer="0.3"/>
  <pageSetup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39"/>
  <sheetViews>
    <sheetView workbookViewId="0"/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22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6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215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20</v>
      </c>
      <c r="H6" s="27">
        <f>(G6*F6)-70</f>
        <v>630</v>
      </c>
    </row>
    <row r="7" spans="2:8" x14ac:dyDescent="0.45">
      <c r="B7" s="22"/>
      <c r="C7" s="22" t="s">
        <v>166</v>
      </c>
      <c r="D7" s="22"/>
      <c r="E7" s="22"/>
      <c r="F7" s="26"/>
      <c r="G7" s="23">
        <f>20+7+7</f>
        <v>34</v>
      </c>
      <c r="H7" s="27">
        <f>420+50+315+800-40</f>
        <v>1545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9</v>
      </c>
      <c r="H8" s="27">
        <f>(G8*F8)-24</f>
        <v>192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0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f>F13*G13</f>
        <v>0</v>
      </c>
    </row>
    <row r="14" spans="2:8" x14ac:dyDescent="0.45">
      <c r="B14" s="22"/>
      <c r="C14" s="22" t="s">
        <v>171</v>
      </c>
      <c r="D14" s="22"/>
      <c r="E14" s="22"/>
      <c r="F14" s="26">
        <v>0</v>
      </c>
      <c r="G14" s="23">
        <v>0</v>
      </c>
      <c r="H14" s="27">
        <f t="shared" ref="H14:H16" si="0">(G14*F14)</f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63</v>
      </c>
      <c r="H18" s="33">
        <f>SUM(H6:H17)</f>
        <v>2367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2367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192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2559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216</v>
      </c>
      <c r="D27" s="74"/>
      <c r="E27" s="74"/>
      <c r="F27" s="44">
        <v>24</v>
      </c>
      <c r="G27" s="23">
        <v>60</v>
      </c>
      <c r="H27" s="27">
        <f>F27*G27</f>
        <v>1440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v>110.49</v>
      </c>
    </row>
    <row r="29" spans="2:8" x14ac:dyDescent="0.45">
      <c r="B29" s="22"/>
      <c r="C29" s="22"/>
      <c r="D29" s="22"/>
      <c r="E29" s="22"/>
      <c r="F29" s="44"/>
      <c r="G29" s="23"/>
      <c r="H29" s="27"/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1550.49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2559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1550.49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1008.51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0.60589683470105515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27546.41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D17C-6039-4487-9BB9-2CC56109AE4D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39"/>
  <sheetViews>
    <sheetView topLeftCell="A9" workbookViewId="0">
      <selection sqref="A1:XFD1048576"/>
    </sheetView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21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217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218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24</v>
      </c>
      <c r="H6" s="27">
        <f>(G6*F6)-40</f>
        <v>800</v>
      </c>
    </row>
    <row r="7" spans="2:8" x14ac:dyDescent="0.45">
      <c r="B7" s="22"/>
      <c r="C7" s="22" t="s">
        <v>166</v>
      </c>
      <c r="D7" s="22"/>
      <c r="E7" s="22"/>
      <c r="F7" s="26"/>
      <c r="G7" s="23">
        <f>43-6</f>
        <v>37</v>
      </c>
      <c r="H7" s="27">
        <f>800+650+444-432-24</f>
        <v>1438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18</v>
      </c>
      <c r="H8" s="27">
        <f t="shared" ref="H8:H16" si="0">(G8*F8)</f>
        <v>432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6</v>
      </c>
      <c r="H12" s="27">
        <f>F12*G12</f>
        <v>0</v>
      </c>
    </row>
    <row r="13" spans="2:8" x14ac:dyDescent="0.45">
      <c r="B13" s="22"/>
      <c r="C13" s="22" t="s">
        <v>219</v>
      </c>
      <c r="D13" s="22"/>
      <c r="E13" s="22"/>
      <c r="F13" s="26">
        <v>24</v>
      </c>
      <c r="G13" s="23">
        <v>1</v>
      </c>
      <c r="H13" s="27">
        <f>F13*G13</f>
        <v>24</v>
      </c>
    </row>
    <row r="14" spans="2:8" x14ac:dyDescent="0.45">
      <c r="B14" s="22"/>
      <c r="C14" s="22" t="s">
        <v>171</v>
      </c>
      <c r="D14" s="22"/>
      <c r="E14" s="22"/>
      <c r="F14" s="26">
        <v>0</v>
      </c>
      <c r="G14" s="23">
        <v>0</v>
      </c>
      <c r="H14" s="27">
        <f t="shared" si="0"/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86</v>
      </c>
      <c r="H18" s="33">
        <f>SUM(H6:H17)</f>
        <v>2694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2694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285.73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2979.73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220</v>
      </c>
      <c r="D27" s="74"/>
      <c r="E27" s="74"/>
      <c r="F27" s="44">
        <v>24</v>
      </c>
      <c r="G27" s="23">
        <v>77</v>
      </c>
      <c r="H27" s="27">
        <f>F27*G27</f>
        <v>1848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v>111.84</v>
      </c>
    </row>
    <row r="29" spans="2:8" x14ac:dyDescent="0.45">
      <c r="B29" s="22"/>
      <c r="C29" s="22"/>
      <c r="D29" s="22"/>
      <c r="E29" s="22"/>
      <c r="F29" s="44"/>
      <c r="G29" s="23"/>
      <c r="H29" s="27"/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1959.84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2979.73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1959.84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1019.8900000000001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0.65772402197514535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31657.360000000001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39"/>
  <sheetViews>
    <sheetView topLeftCell="B1" workbookViewId="0">
      <selection activeCell="K12" sqref="K12"/>
    </sheetView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221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222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223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224</v>
      </c>
      <c r="D6" s="22"/>
      <c r="E6" s="22"/>
      <c r="F6" s="26">
        <v>35</v>
      </c>
      <c r="G6" s="23">
        <v>20</v>
      </c>
      <c r="H6" s="27">
        <f t="shared" ref="H6:H16" si="0">(G6*F6)</f>
        <v>700</v>
      </c>
    </row>
    <row r="7" spans="2:8" x14ac:dyDescent="0.45">
      <c r="B7" s="22"/>
      <c r="C7" s="22" t="s">
        <v>166</v>
      </c>
      <c r="D7" s="22"/>
      <c r="E7" s="22"/>
      <c r="F7" s="26"/>
      <c r="G7" s="23">
        <v>32</v>
      </c>
      <c r="H7" s="27">
        <f>760-120+300+120+225+48+80</f>
        <v>1413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1</v>
      </c>
      <c r="H8" s="27">
        <f t="shared" si="0"/>
        <v>24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2</v>
      </c>
      <c r="H12" s="27">
        <f t="shared" si="0"/>
        <v>0</v>
      </c>
    </row>
    <row r="13" spans="2:8" x14ac:dyDescent="0.45">
      <c r="B13" s="22"/>
      <c r="C13" s="22" t="s">
        <v>219</v>
      </c>
      <c r="D13" s="22"/>
      <c r="E13" s="22"/>
      <c r="F13" s="26">
        <v>0</v>
      </c>
      <c r="G13" s="23">
        <v>1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0</v>
      </c>
      <c r="G14" s="23">
        <v>2</v>
      </c>
      <c r="H14" s="27">
        <f t="shared" si="0"/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58</v>
      </c>
      <c r="H18" s="33">
        <f>SUM(H6:H17)</f>
        <v>2137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2137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228.49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2365.4899999999998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225</v>
      </c>
      <c r="D27" s="74"/>
      <c r="E27" s="74"/>
      <c r="F27" s="44">
        <v>24</v>
      </c>
      <c r="G27" s="23">
        <v>58</v>
      </c>
      <c r="H27" s="27">
        <f>F27*G27</f>
        <v>1392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v>149.74</v>
      </c>
    </row>
    <row r="29" spans="2:8" x14ac:dyDescent="0.45">
      <c r="B29" s="22"/>
      <c r="C29" s="22"/>
      <c r="D29" s="22"/>
      <c r="E29" s="22"/>
      <c r="F29" s="44"/>
      <c r="G29" s="23"/>
      <c r="H29" s="27"/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1541.74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2365.4899999999998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1541.74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823.74999999999977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0.65176348240745052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35147.769999999997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9"/>
  <sheetViews>
    <sheetView workbookViewId="0">
      <selection activeCell="L31" sqref="L31"/>
    </sheetView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226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227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228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224</v>
      </c>
      <c r="D6" s="22"/>
      <c r="E6" s="22"/>
      <c r="F6" s="26">
        <v>35</v>
      </c>
      <c r="G6" s="23">
        <v>27</v>
      </c>
      <c r="H6" s="27">
        <f t="shared" ref="H6:H16" si="0">(G6*F6)</f>
        <v>945</v>
      </c>
    </row>
    <row r="7" spans="2:8" x14ac:dyDescent="0.45">
      <c r="B7" s="22"/>
      <c r="C7" s="22" t="s">
        <v>166</v>
      </c>
      <c r="D7" s="22"/>
      <c r="E7" s="22"/>
      <c r="F7" s="26"/>
      <c r="G7" s="23">
        <v>60</v>
      </c>
      <c r="H7" s="27">
        <v>2590</v>
      </c>
    </row>
    <row r="8" spans="2:8" x14ac:dyDescent="0.45">
      <c r="B8" s="22"/>
      <c r="C8" s="22" t="s">
        <v>229</v>
      </c>
      <c r="D8" s="22"/>
      <c r="E8" s="22"/>
      <c r="F8" s="26">
        <v>24</v>
      </c>
      <c r="G8" s="23">
        <v>25</v>
      </c>
      <c r="H8" s="27">
        <f t="shared" si="0"/>
        <v>600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24</v>
      </c>
      <c r="G12" s="23">
        <v>0</v>
      </c>
      <c r="H12" s="27">
        <f t="shared" si="0"/>
        <v>0</v>
      </c>
    </row>
    <row r="13" spans="2:8" x14ac:dyDescent="0.45">
      <c r="B13" s="22"/>
      <c r="C13" s="22" t="s">
        <v>219</v>
      </c>
      <c r="D13" s="22"/>
      <c r="E13" s="22"/>
      <c r="F13" s="26">
        <v>0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0</v>
      </c>
      <c r="G14" s="23">
        <v>0</v>
      </c>
      <c r="H14" s="27">
        <f t="shared" si="0"/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/>
      <c r="H18" s="33">
        <f>SUM(H6:H17)</f>
        <v>4135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H18-35-15</f>
        <v>4085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724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4809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230</v>
      </c>
      <c r="D27" s="74"/>
      <c r="E27" s="74"/>
      <c r="F27" s="44">
        <v>23.998899999999999</v>
      </c>
      <c r="G27" s="23">
        <v>112</v>
      </c>
      <c r="H27" s="27">
        <f>F27*G27</f>
        <v>2687.8768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v>119.65</v>
      </c>
    </row>
    <row r="29" spans="2:8" x14ac:dyDescent="0.45">
      <c r="B29" s="22"/>
      <c r="C29" s="22"/>
      <c r="D29" s="22"/>
      <c r="E29" s="22"/>
      <c r="F29" s="44"/>
      <c r="G29" s="23"/>
      <c r="H29" s="27"/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2807.5268000000001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4809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2807.5268000000001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2001.4731999999999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0.58380677895612398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/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39"/>
  <sheetViews>
    <sheetView topLeftCell="A11" workbookViewId="0">
      <selection activeCell="K11" sqref="K11"/>
    </sheetView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231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2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232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224</v>
      </c>
      <c r="D6" s="22"/>
      <c r="E6" s="22"/>
      <c r="F6" s="26">
        <v>35</v>
      </c>
      <c r="G6" s="23">
        <v>30</v>
      </c>
      <c r="H6" s="27">
        <f t="shared" ref="H6:H16" si="0">(G6*F6)</f>
        <v>1050</v>
      </c>
    </row>
    <row r="7" spans="2:8" x14ac:dyDescent="0.45">
      <c r="B7" s="22"/>
      <c r="C7" s="22" t="s">
        <v>166</v>
      </c>
      <c r="D7" s="22"/>
      <c r="E7" s="22"/>
      <c r="F7" s="26"/>
      <c r="G7" s="23"/>
      <c r="H7" s="27">
        <v>1304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0</v>
      </c>
      <c r="H8" s="27">
        <f t="shared" si="0"/>
        <v>0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0</v>
      </c>
      <c r="H12" s="27">
        <f t="shared" si="0"/>
        <v>0</v>
      </c>
    </row>
    <row r="13" spans="2:8" x14ac:dyDescent="0.45">
      <c r="B13" s="22"/>
      <c r="C13" s="22" t="s">
        <v>219</v>
      </c>
      <c r="D13" s="22"/>
      <c r="E13" s="22"/>
      <c r="F13" s="26">
        <v>0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0</v>
      </c>
      <c r="G14" s="23">
        <v>0</v>
      </c>
      <c r="H14" s="27">
        <f t="shared" si="0"/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/>
      <c r="H18" s="33">
        <f>SUM(H6:H17)</f>
        <v>2354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v>2654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98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2752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</v>
      </c>
      <c r="D27" s="74"/>
      <c r="E27" s="74"/>
      <c r="F27" s="44">
        <v>24</v>
      </c>
      <c r="G27" s="23">
        <v>62</v>
      </c>
      <c r="H27" s="27">
        <v>1458.69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f>126.61+15.85+18.53</f>
        <v>160.99</v>
      </c>
    </row>
    <row r="29" spans="2:8" x14ac:dyDescent="0.45">
      <c r="B29" s="22"/>
      <c r="C29" s="22"/>
      <c r="D29" s="22"/>
      <c r="E29" s="22"/>
      <c r="F29" s="44"/>
      <c r="G29" s="23"/>
      <c r="H29" s="27"/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1619.68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2752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1619.68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1132.32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0.58854651162790705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22725.41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9"/>
  <sheetViews>
    <sheetView workbookViewId="0">
      <selection activeCell="D29" sqref="D29"/>
    </sheetView>
  </sheetViews>
  <sheetFormatPr defaultColWidth="8.86328125" defaultRowHeight="14.25" x14ac:dyDescent="0.45"/>
  <cols>
    <col min="8" max="8" width="9.1328125" bestFit="1" customWidth="1"/>
  </cols>
  <sheetData>
    <row r="1" spans="2:8" ht="27.75" x14ac:dyDescent="0.75">
      <c r="B1" s="22"/>
      <c r="C1" s="22"/>
      <c r="D1" s="71" t="s">
        <v>158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159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160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25</v>
      </c>
      <c r="G6" s="23">
        <v>75</v>
      </c>
      <c r="H6" s="27">
        <f>(G6*F6)</f>
        <v>1875</v>
      </c>
    </row>
    <row r="7" spans="2:8" x14ac:dyDescent="0.45">
      <c r="B7" s="22"/>
      <c r="C7" s="22" t="s">
        <v>166</v>
      </c>
      <c r="D7" s="22"/>
      <c r="E7" s="22"/>
      <c r="F7" s="26"/>
      <c r="G7" s="23">
        <v>0</v>
      </c>
      <c r="H7" s="27">
        <v>100</v>
      </c>
    </row>
    <row r="8" spans="2:8" x14ac:dyDescent="0.45">
      <c r="B8" s="22"/>
      <c r="C8" s="22" t="s">
        <v>167</v>
      </c>
      <c r="D8" s="22"/>
      <c r="E8" s="22"/>
      <c r="F8" s="26">
        <v>15</v>
      </c>
      <c r="G8" s="23">
        <v>7</v>
      </c>
      <c r="H8" s="27">
        <f>(G8*F8)</f>
        <v>105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0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1</v>
      </c>
      <c r="H14" s="27"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ref="H15:H16" si="0">(G15*F15)</f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83</v>
      </c>
      <c r="H18" s="33">
        <f>SUM(H6:H17)</f>
        <v>2080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2080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475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2555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183</v>
      </c>
      <c r="D27" s="74"/>
      <c r="E27" s="74"/>
      <c r="F27" s="44">
        <v>15.003</v>
      </c>
      <c r="G27" s="23">
        <v>84</v>
      </c>
      <c r="H27" s="42">
        <f>(F27*G27)-0.25</f>
        <v>1260.002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42">
        <v>160.56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42">
        <v>0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42">
        <v>0</v>
      </c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1420.5619999999999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2555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1420.5619999999999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1134.4380000000001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0.55599295499021517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35675.519999999997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9"/>
  <sheetViews>
    <sheetView workbookViewId="0"/>
  </sheetViews>
  <sheetFormatPr defaultColWidth="8.86328125" defaultRowHeight="14.25" x14ac:dyDescent="0.45"/>
  <cols>
    <col min="8" max="8" width="9.1328125" bestFit="1" customWidth="1"/>
  </cols>
  <sheetData>
    <row r="1" spans="2:8" ht="27.75" x14ac:dyDescent="0.75">
      <c r="B1" s="22"/>
      <c r="C1" s="22"/>
      <c r="D1" s="71" t="s">
        <v>193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12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194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22</v>
      </c>
      <c r="H6" s="27">
        <f>(G6*F6)</f>
        <v>770</v>
      </c>
    </row>
    <row r="7" spans="2:8" x14ac:dyDescent="0.45">
      <c r="B7" s="22"/>
      <c r="C7" s="22" t="s">
        <v>166</v>
      </c>
      <c r="D7" s="22"/>
      <c r="E7" s="22"/>
      <c r="F7" s="26"/>
      <c r="G7" s="23">
        <v>23</v>
      </c>
      <c r="H7" s="27">
        <v>1149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2</v>
      </c>
      <c r="H8" s="27">
        <f>F8*2</f>
        <v>48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7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1</v>
      </c>
      <c r="H14" s="27"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ref="H15:H16" si="0">(G15*F15)</f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55</v>
      </c>
      <c r="H18" s="33">
        <f>SUM(H6:H17)</f>
        <v>1967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1967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140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2107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12</v>
      </c>
      <c r="D27" s="74"/>
      <c r="E27" s="74"/>
      <c r="F27" s="44">
        <v>23.996300000000002</v>
      </c>
      <c r="G27" s="23">
        <v>45</v>
      </c>
      <c r="H27" s="42">
        <f>(F27*G27)-0.25</f>
        <v>1079.5835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42">
        <v>262.2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42">
        <v>0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42">
        <v>233.76</v>
      </c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1575.5435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2107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1575.5435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531.45650000000001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0.74776625533934504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35675.519999999997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1"/>
  <sheetViews>
    <sheetView workbookViewId="0">
      <selection activeCell="A22" sqref="A22"/>
    </sheetView>
  </sheetViews>
  <sheetFormatPr defaultRowHeight="14.25" x14ac:dyDescent="0.45"/>
  <sheetData>
    <row r="1" spans="1:1" x14ac:dyDescent="0.45">
      <c r="A1">
        <v>917</v>
      </c>
    </row>
    <row r="2" spans="1:1" x14ac:dyDescent="0.45">
      <c r="A2">
        <v>397.73</v>
      </c>
    </row>
    <row r="3" spans="1:1" x14ac:dyDescent="0.45">
      <c r="A3">
        <v>145</v>
      </c>
    </row>
    <row r="4" spans="1:1" x14ac:dyDescent="0.45">
      <c r="A4">
        <v>45</v>
      </c>
    </row>
    <row r="5" spans="1:1" x14ac:dyDescent="0.45">
      <c r="A5">
        <v>120</v>
      </c>
    </row>
    <row r="6" spans="1:1" x14ac:dyDescent="0.45">
      <c r="A6">
        <v>85</v>
      </c>
    </row>
    <row r="7" spans="1:1" x14ac:dyDescent="0.45">
      <c r="A7">
        <v>125</v>
      </c>
    </row>
    <row r="8" spans="1:1" x14ac:dyDescent="0.45">
      <c r="A8">
        <v>50</v>
      </c>
    </row>
    <row r="9" spans="1:1" x14ac:dyDescent="0.45">
      <c r="A9">
        <v>215</v>
      </c>
    </row>
    <row r="10" spans="1:1" x14ac:dyDescent="0.45">
      <c r="A10">
        <v>190</v>
      </c>
    </row>
    <row r="11" spans="1:1" x14ac:dyDescent="0.45">
      <c r="A11">
        <v>85</v>
      </c>
    </row>
    <row r="12" spans="1:1" x14ac:dyDescent="0.45">
      <c r="A12">
        <v>100</v>
      </c>
    </row>
    <row r="13" spans="1:1" x14ac:dyDescent="0.45">
      <c r="A13">
        <v>35</v>
      </c>
    </row>
    <row r="14" spans="1:1" x14ac:dyDescent="0.45">
      <c r="A14">
        <v>85</v>
      </c>
    </row>
    <row r="15" spans="1:1" x14ac:dyDescent="0.45">
      <c r="A15">
        <v>150</v>
      </c>
    </row>
    <row r="16" spans="1:1" x14ac:dyDescent="0.45">
      <c r="A16">
        <v>115</v>
      </c>
    </row>
    <row r="17" spans="1:1" x14ac:dyDescent="0.45">
      <c r="A17">
        <v>50</v>
      </c>
    </row>
    <row r="18" spans="1:1" x14ac:dyDescent="0.45">
      <c r="A18">
        <v>35</v>
      </c>
    </row>
    <row r="19" spans="1:1" x14ac:dyDescent="0.45">
      <c r="A19">
        <v>35</v>
      </c>
    </row>
    <row r="20" spans="1:1" x14ac:dyDescent="0.45">
      <c r="A20">
        <v>-2694</v>
      </c>
    </row>
    <row r="21" spans="1:1" x14ac:dyDescent="0.45">
      <c r="A21">
        <f>SUM(A1:A20)</f>
        <v>285.73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2"/>
  <sheetViews>
    <sheetView workbookViewId="0">
      <selection activeCell="C29" sqref="C29:E29"/>
    </sheetView>
  </sheetViews>
  <sheetFormatPr defaultColWidth="8.86328125" defaultRowHeight="14.25" x14ac:dyDescent="0.45"/>
  <cols>
    <col min="8" max="8" width="10.1328125" bestFit="1" customWidth="1"/>
    <col min="11" max="11" width="9.1328125" bestFit="1" customWidth="1"/>
  </cols>
  <sheetData>
    <row r="1" spans="2:8" ht="27.75" x14ac:dyDescent="0.75">
      <c r="B1" s="22"/>
      <c r="C1" s="22"/>
      <c r="D1" s="71" t="s">
        <v>195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196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197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60</v>
      </c>
      <c r="G6" s="23">
        <v>29</v>
      </c>
      <c r="H6" s="27">
        <f t="shared" ref="H6:H7" si="0">F6*G6</f>
        <v>1740</v>
      </c>
    </row>
    <row r="7" spans="2:8" x14ac:dyDescent="0.45">
      <c r="B7" s="22"/>
      <c r="C7" s="22" t="s">
        <v>198</v>
      </c>
      <c r="D7" s="22"/>
      <c r="E7" s="22"/>
      <c r="F7" s="26">
        <v>20</v>
      </c>
      <c r="G7" s="23">
        <v>23</v>
      </c>
      <c r="H7" s="27">
        <f t="shared" si="0"/>
        <v>460</v>
      </c>
    </row>
    <row r="8" spans="2:8" x14ac:dyDescent="0.45">
      <c r="B8" s="22"/>
      <c r="C8" s="22" t="s">
        <v>166</v>
      </c>
      <c r="D8" s="22"/>
      <c r="E8" s="22"/>
      <c r="F8" s="26">
        <v>75</v>
      </c>
      <c r="G8" s="23">
        <f>19+4+34+1</f>
        <v>58</v>
      </c>
      <c r="H8" s="27">
        <f>F8*G8</f>
        <v>4350</v>
      </c>
    </row>
    <row r="9" spans="2:8" x14ac:dyDescent="0.45">
      <c r="B9" s="22"/>
      <c r="C9" s="22" t="s">
        <v>199</v>
      </c>
      <c r="D9" s="22"/>
      <c r="E9" s="22"/>
      <c r="F9" s="26">
        <v>10</v>
      </c>
      <c r="G9" s="23">
        <f>1+4+1+2+1</f>
        <v>9</v>
      </c>
      <c r="H9" s="27">
        <f t="shared" ref="H9" si="1">F9*G9</f>
        <v>90</v>
      </c>
    </row>
    <row r="10" spans="2:8" x14ac:dyDescent="0.45">
      <c r="B10" s="22"/>
      <c r="C10" s="22" t="s">
        <v>200</v>
      </c>
      <c r="D10" s="22"/>
      <c r="E10" s="22"/>
      <c r="F10" s="26">
        <v>35</v>
      </c>
      <c r="G10" s="23">
        <f>29+7</f>
        <v>36</v>
      </c>
      <c r="H10" s="27">
        <f>F10*G10</f>
        <v>1260</v>
      </c>
    </row>
    <row r="11" spans="2:8" x14ac:dyDescent="0.45">
      <c r="B11" s="22"/>
      <c r="C11" s="22"/>
      <c r="D11" s="22"/>
      <c r="E11" s="22"/>
      <c r="F11" s="26"/>
      <c r="G11" s="23"/>
      <c r="H11" s="27"/>
    </row>
    <row r="12" spans="2:8" x14ac:dyDescent="0.45">
      <c r="B12" s="22"/>
      <c r="C12" s="22"/>
      <c r="D12" s="22"/>
      <c r="E12" s="22"/>
      <c r="F12" s="26"/>
      <c r="G12" s="23"/>
      <c r="H12" s="27"/>
    </row>
    <row r="13" spans="2:8" x14ac:dyDescent="0.45">
      <c r="B13" s="22"/>
      <c r="C13" s="22"/>
      <c r="D13" s="22"/>
      <c r="E13" s="22"/>
      <c r="F13" s="28" t="s">
        <v>168</v>
      </c>
      <c r="G13" s="29"/>
      <c r="H13" s="27"/>
    </row>
    <row r="14" spans="2:8" x14ac:dyDescent="0.45">
      <c r="B14" s="22"/>
      <c r="C14" s="22" t="s">
        <v>169</v>
      </c>
      <c r="D14" s="22"/>
      <c r="E14" s="22"/>
      <c r="F14" s="26">
        <v>0</v>
      </c>
      <c r="G14" s="23">
        <v>1</v>
      </c>
      <c r="H14" s="27">
        <f>F14*G14</f>
        <v>0</v>
      </c>
    </row>
    <row r="15" spans="2:8" x14ac:dyDescent="0.45">
      <c r="B15" s="22"/>
      <c r="C15" s="22" t="s">
        <v>170</v>
      </c>
      <c r="D15" s="22"/>
      <c r="E15" s="22"/>
      <c r="F15" s="26">
        <v>35</v>
      </c>
      <c r="G15" s="23">
        <v>4</v>
      </c>
      <c r="H15" s="27">
        <v>0</v>
      </c>
    </row>
    <row r="16" spans="2:8" x14ac:dyDescent="0.45">
      <c r="B16" s="22"/>
      <c r="C16" s="22" t="s">
        <v>171</v>
      </c>
      <c r="D16" s="22"/>
      <c r="E16" s="22"/>
      <c r="F16" s="26">
        <v>35</v>
      </c>
      <c r="G16" s="23">
        <v>1</v>
      </c>
      <c r="H16" s="27">
        <v>0</v>
      </c>
    </row>
    <row r="17" spans="2:11" x14ac:dyDescent="0.45">
      <c r="B17" s="22"/>
      <c r="C17" s="22" t="s">
        <v>172</v>
      </c>
      <c r="D17" s="22"/>
      <c r="E17" s="22"/>
      <c r="F17" s="26">
        <v>0</v>
      </c>
      <c r="G17" s="23">
        <v>0</v>
      </c>
      <c r="H17" s="27">
        <f t="shared" ref="H17:H18" si="2">(G17*F17)</f>
        <v>0</v>
      </c>
    </row>
    <row r="18" spans="2:11" x14ac:dyDescent="0.45">
      <c r="B18" s="22"/>
      <c r="C18" s="22" t="s">
        <v>173</v>
      </c>
      <c r="D18" s="22"/>
      <c r="E18" s="22"/>
      <c r="F18" s="26">
        <v>0</v>
      </c>
      <c r="G18" s="23">
        <v>0</v>
      </c>
      <c r="H18" s="27">
        <f t="shared" si="2"/>
        <v>0</v>
      </c>
    </row>
    <row r="19" spans="2:11" x14ac:dyDescent="0.45">
      <c r="B19" s="22"/>
      <c r="C19" s="22"/>
      <c r="D19" s="22"/>
      <c r="E19" s="22"/>
      <c r="F19" s="30" t="s">
        <v>174</v>
      </c>
      <c r="G19" s="29"/>
      <c r="H19" s="27"/>
    </row>
    <row r="20" spans="2:11" x14ac:dyDescent="0.45">
      <c r="B20" s="22"/>
      <c r="C20" s="31" t="s">
        <v>175</v>
      </c>
      <c r="D20" s="31"/>
      <c r="E20" s="31"/>
      <c r="F20" s="32" t="s">
        <v>176</v>
      </c>
      <c r="G20" s="29">
        <f>SUM(G6:G19)-G9</f>
        <v>152</v>
      </c>
      <c r="H20" s="33">
        <f>SUM(H6:H19)-60-60-35-35-35-70</f>
        <v>7605</v>
      </c>
    </row>
    <row r="21" spans="2:11" x14ac:dyDescent="0.45">
      <c r="B21" s="22"/>
      <c r="C21" s="22"/>
      <c r="D21" s="22"/>
      <c r="E21" s="22"/>
      <c r="F21" s="34"/>
      <c r="G21" s="35"/>
      <c r="H21" s="27"/>
    </row>
    <row r="22" spans="2:11" x14ac:dyDescent="0.45">
      <c r="B22" s="22"/>
      <c r="C22" s="22"/>
      <c r="D22" s="22"/>
      <c r="E22" s="22"/>
      <c r="F22" s="36"/>
      <c r="G22" s="37"/>
      <c r="H22" s="27"/>
    </row>
    <row r="23" spans="2:11" x14ac:dyDescent="0.45">
      <c r="B23" s="22"/>
      <c r="C23" s="22"/>
      <c r="D23" s="22"/>
      <c r="E23" s="31" t="s">
        <v>177</v>
      </c>
      <c r="F23" s="36"/>
      <c r="G23" s="35"/>
      <c r="H23" s="38" t="s">
        <v>178</v>
      </c>
    </row>
    <row r="24" spans="2:11" x14ac:dyDescent="0.45">
      <c r="B24" s="22"/>
      <c r="C24" s="22"/>
      <c r="D24" s="22"/>
      <c r="E24" s="39" t="s">
        <v>179</v>
      </c>
      <c r="F24" s="40"/>
      <c r="G24" s="41"/>
      <c r="H24" s="42">
        <f>H20</f>
        <v>7605</v>
      </c>
      <c r="K24" s="61"/>
    </row>
    <row r="25" spans="2:11" x14ac:dyDescent="0.45">
      <c r="B25" s="22"/>
      <c r="C25" s="22"/>
      <c r="D25" s="22"/>
      <c r="E25" s="22" t="s">
        <v>180</v>
      </c>
      <c r="F25" s="36"/>
      <c r="G25" s="23"/>
      <c r="H25" s="27">
        <v>4356</v>
      </c>
    </row>
    <row r="26" spans="2:11" x14ac:dyDescent="0.45">
      <c r="B26" s="22"/>
      <c r="C26" s="22"/>
      <c r="D26" s="22"/>
      <c r="E26" s="22" t="s">
        <v>181</v>
      </c>
      <c r="F26" s="22"/>
      <c r="G26" s="43"/>
      <c r="H26" s="33">
        <f>SUM(H24:H25)</f>
        <v>11961</v>
      </c>
    </row>
    <row r="27" spans="2:11" x14ac:dyDescent="0.45">
      <c r="B27" s="22"/>
      <c r="C27" s="22"/>
      <c r="D27" s="22"/>
      <c r="E27" s="22"/>
      <c r="F27" s="36"/>
      <c r="G27" s="23"/>
      <c r="H27" s="27"/>
    </row>
    <row r="28" spans="2:11" x14ac:dyDescent="0.45">
      <c r="B28" s="24" t="s">
        <v>182</v>
      </c>
      <c r="C28" s="24"/>
      <c r="D28" s="24"/>
      <c r="E28" s="24"/>
      <c r="F28" s="25" t="s">
        <v>162</v>
      </c>
      <c r="G28" s="25" t="s">
        <v>163</v>
      </c>
      <c r="H28" s="25" t="s">
        <v>178</v>
      </c>
    </row>
    <row r="29" spans="2:11" x14ac:dyDescent="0.45">
      <c r="B29" s="22"/>
      <c r="C29" s="74" t="s">
        <v>201</v>
      </c>
      <c r="D29" s="74"/>
      <c r="E29" s="74"/>
      <c r="F29" s="44">
        <v>35</v>
      </c>
      <c r="G29" s="23">
        <v>152</v>
      </c>
      <c r="H29" s="42">
        <v>4541.0200000000004</v>
      </c>
    </row>
    <row r="30" spans="2:11" x14ac:dyDescent="0.45">
      <c r="B30" s="22"/>
      <c r="C30" s="45" t="s">
        <v>184</v>
      </c>
      <c r="D30" s="45"/>
      <c r="E30" s="45"/>
      <c r="F30" s="44"/>
      <c r="G30" s="23"/>
      <c r="H30" s="42">
        <v>148.77000000000001</v>
      </c>
    </row>
    <row r="31" spans="2:11" x14ac:dyDescent="0.45">
      <c r="B31" s="22"/>
      <c r="C31" s="22" t="s">
        <v>185</v>
      </c>
      <c r="D31" s="22"/>
      <c r="E31" s="22"/>
      <c r="F31" s="44"/>
      <c r="G31" s="23"/>
      <c r="H31" s="42">
        <v>300.2</v>
      </c>
    </row>
    <row r="32" spans="2:11" x14ac:dyDescent="0.45">
      <c r="B32" s="22"/>
      <c r="C32" s="22" t="s">
        <v>202</v>
      </c>
      <c r="D32" s="22"/>
      <c r="E32" s="22"/>
      <c r="F32" s="44"/>
      <c r="G32" s="23"/>
      <c r="H32" s="42">
        <v>175</v>
      </c>
    </row>
    <row r="33" spans="2:8" x14ac:dyDescent="0.45">
      <c r="B33" s="22"/>
      <c r="C33" s="22" t="s">
        <v>186</v>
      </c>
      <c r="D33" s="22"/>
      <c r="E33" s="22"/>
      <c r="F33" s="44"/>
      <c r="G33" s="23"/>
      <c r="H33" s="42">
        <f>280+470.67</f>
        <v>750.67000000000007</v>
      </c>
    </row>
    <row r="34" spans="2:8" x14ac:dyDescent="0.45">
      <c r="B34" s="22"/>
      <c r="C34" s="31" t="s">
        <v>187</v>
      </c>
      <c r="D34" s="22"/>
      <c r="E34" s="22"/>
      <c r="F34" s="23"/>
      <c r="G34" s="23"/>
      <c r="H34" s="33">
        <f>SUM(H29:H33)</f>
        <v>5915.6600000000008</v>
      </c>
    </row>
    <row r="35" spans="2:8" x14ac:dyDescent="0.45">
      <c r="B35" s="22"/>
      <c r="C35" s="22"/>
      <c r="D35" s="22"/>
      <c r="E35" s="22"/>
      <c r="F35" s="22"/>
      <c r="G35" s="22"/>
      <c r="H35" s="46"/>
    </row>
    <row r="36" spans="2:8" ht="15.4" x14ac:dyDescent="0.45">
      <c r="B36" s="47"/>
      <c r="C36" s="47"/>
      <c r="D36" s="48" t="s">
        <v>188</v>
      </c>
      <c r="E36" s="48"/>
      <c r="F36" s="22"/>
      <c r="G36" s="47"/>
      <c r="H36" s="49">
        <f>H26</f>
        <v>11961</v>
      </c>
    </row>
    <row r="37" spans="2:8" ht="15.4" x14ac:dyDescent="0.45">
      <c r="B37" s="47"/>
      <c r="C37" s="47"/>
      <c r="D37" s="48" t="s">
        <v>189</v>
      </c>
      <c r="E37" s="48"/>
      <c r="F37" s="22"/>
      <c r="G37" s="47"/>
      <c r="H37" s="49">
        <f>H34</f>
        <v>5915.6600000000008</v>
      </c>
    </row>
    <row r="38" spans="2:8" ht="15.4" x14ac:dyDescent="0.45">
      <c r="B38" s="47"/>
      <c r="C38" s="47"/>
      <c r="D38" s="48"/>
      <c r="E38" s="48"/>
      <c r="F38" s="22"/>
      <c r="G38" s="47"/>
      <c r="H38" s="50"/>
    </row>
    <row r="39" spans="2:8" ht="15.4" x14ac:dyDescent="0.45">
      <c r="B39" s="47"/>
      <c r="C39" s="47"/>
      <c r="D39" s="48" t="s">
        <v>190</v>
      </c>
      <c r="E39" s="48"/>
      <c r="F39" s="22"/>
      <c r="G39" s="47"/>
      <c r="H39" s="51">
        <f>H36-H37</f>
        <v>6045.3399999999992</v>
      </c>
    </row>
    <row r="40" spans="2:8" ht="15.4" x14ac:dyDescent="0.45">
      <c r="B40" s="47"/>
      <c r="C40" s="47"/>
      <c r="D40" s="48" t="s">
        <v>191</v>
      </c>
      <c r="E40" s="48"/>
      <c r="F40" s="22"/>
      <c r="G40" s="47"/>
      <c r="H40" s="52">
        <f>SUM(H37/H36)</f>
        <v>0.49457904857453394</v>
      </c>
    </row>
    <row r="41" spans="2:8" ht="15.4" x14ac:dyDescent="0.45">
      <c r="B41" s="47"/>
      <c r="C41" s="47"/>
      <c r="D41" s="48"/>
      <c r="E41" s="48"/>
      <c r="F41" s="22"/>
      <c r="G41" s="47"/>
      <c r="H41" s="53"/>
    </row>
    <row r="42" spans="2:8" ht="17.649999999999999" x14ac:dyDescent="0.5">
      <c r="B42" s="54"/>
      <c r="C42" s="54" t="s">
        <v>192</v>
      </c>
      <c r="D42" s="54"/>
      <c r="E42" s="54"/>
      <c r="F42" s="75">
        <v>39158.69</v>
      </c>
      <c r="G42" s="75"/>
      <c r="H42" s="55"/>
    </row>
  </sheetData>
  <mergeCells count="5">
    <mergeCell ref="D1:H1"/>
    <mergeCell ref="D2:H2"/>
    <mergeCell ref="D3:H3"/>
    <mergeCell ref="C29:E29"/>
    <mergeCell ref="F42:G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39"/>
  <sheetViews>
    <sheetView topLeftCell="A25" workbookViewId="0">
      <selection activeCell="G18" sqref="G18"/>
    </sheetView>
  </sheetViews>
  <sheetFormatPr defaultColWidth="8.86328125" defaultRowHeight="14.25" x14ac:dyDescent="0.45"/>
  <cols>
    <col min="8" max="8" width="9.1328125" bestFit="1" customWidth="1"/>
  </cols>
  <sheetData>
    <row r="1" spans="2:8" ht="27.75" x14ac:dyDescent="0.75">
      <c r="B1" s="22"/>
      <c r="C1" s="22"/>
      <c r="D1" s="71" t="s">
        <v>203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204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10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25</v>
      </c>
      <c r="H6" s="27">
        <f>(G6*F6)-35-35</f>
        <v>805</v>
      </c>
    </row>
    <row r="7" spans="2:8" x14ac:dyDescent="0.45">
      <c r="B7" s="22"/>
      <c r="C7" s="22" t="s">
        <v>166</v>
      </c>
      <c r="D7" s="22"/>
      <c r="E7" s="22"/>
      <c r="F7" s="26"/>
      <c r="G7" s="23">
        <v>40</v>
      </c>
      <c r="H7" s="27">
        <f>1646-24</f>
        <v>1622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0</v>
      </c>
      <c r="H8" s="27">
        <v>24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0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0</v>
      </c>
      <c r="H14" s="27"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ref="H15:H16" si="0">(G15*F15)</f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65</v>
      </c>
      <c r="H18" s="33">
        <f>SUM(H6:H17)</f>
        <v>2451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2451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117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2568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205</v>
      </c>
      <c r="D27" s="74"/>
      <c r="E27" s="74"/>
      <c r="F27" s="44">
        <v>23.85</v>
      </c>
      <c r="G27" s="23">
        <v>65</v>
      </c>
      <c r="H27" s="42">
        <f>(F27*G27)-0.25</f>
        <v>1550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42">
        <v>157.82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42">
        <v>0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42">
        <v>29.17</v>
      </c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1736.99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2568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1736.99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831.01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0.67639797507788157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29390.74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9"/>
  <sheetViews>
    <sheetView workbookViewId="0"/>
  </sheetViews>
  <sheetFormatPr defaultColWidth="8.86328125" defaultRowHeight="14.25" x14ac:dyDescent="0.45"/>
  <cols>
    <col min="8" max="8" width="9.1328125" bestFit="1" customWidth="1"/>
  </cols>
  <sheetData>
    <row r="1" spans="2:8" ht="27.75" x14ac:dyDescent="0.75">
      <c r="B1" s="22"/>
      <c r="C1" s="22"/>
      <c r="D1" s="71" t="s">
        <v>206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9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207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19</v>
      </c>
      <c r="H6" s="27">
        <f>(G6*F6)-35</f>
        <v>630</v>
      </c>
    </row>
    <row r="7" spans="2:8" x14ac:dyDescent="0.45">
      <c r="B7" s="22"/>
      <c r="C7" s="22" t="s">
        <v>166</v>
      </c>
      <c r="D7" s="22"/>
      <c r="E7" s="22"/>
      <c r="F7" s="26"/>
      <c r="G7" s="23">
        <v>80</v>
      </c>
      <c r="H7" s="27">
        <v>3137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0</v>
      </c>
      <c r="H8" s="27">
        <f>(G8*F8)</f>
        <v>0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5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0</v>
      </c>
      <c r="H14" s="27"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ref="H15:H16" si="0">(G15*F15)</f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104</v>
      </c>
      <c r="H18" s="33">
        <f>SUM(H6:H17)</f>
        <v>3767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3767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325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4092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208</v>
      </c>
      <c r="D27" s="74"/>
      <c r="E27" s="74"/>
      <c r="F27" s="44">
        <v>24</v>
      </c>
      <c r="G27" s="23">
        <v>96</v>
      </c>
      <c r="H27" s="42">
        <f>(F27*G27)</f>
        <v>2304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42">
        <v>97.81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42">
        <v>0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42">
        <v>0</v>
      </c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2401.81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4092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2401.81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1690.19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0.58695259042033232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27987.919999999998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39"/>
  <sheetViews>
    <sheetView tabSelected="1" workbookViewId="0">
      <selection activeCell="D2" sqref="D2:H2"/>
    </sheetView>
  </sheetViews>
  <sheetFormatPr defaultColWidth="8.86328125" defaultRowHeight="14.25" x14ac:dyDescent="0.45"/>
  <cols>
    <col min="8" max="8" width="9.1328125" bestFit="1" customWidth="1"/>
  </cols>
  <sheetData>
    <row r="1" spans="2:8" ht="27.75" x14ac:dyDescent="0.75">
      <c r="B1" s="22"/>
      <c r="C1" s="22"/>
      <c r="D1" s="71" t="s">
        <v>209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8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210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15</v>
      </c>
      <c r="H6" s="27">
        <f>(G6*F6)</f>
        <v>525</v>
      </c>
    </row>
    <row r="7" spans="2:8" x14ac:dyDescent="0.45">
      <c r="B7" s="22"/>
      <c r="C7" s="22" t="s">
        <v>166</v>
      </c>
      <c r="D7" s="22"/>
      <c r="E7" s="22"/>
      <c r="F7" s="26"/>
      <c r="G7" s="23">
        <v>34</v>
      </c>
      <c r="H7" s="27">
        <v>1083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0</v>
      </c>
      <c r="H8" s="27">
        <f>(G8*F8)</f>
        <v>0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0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1</v>
      </c>
      <c r="H13" s="27"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1</v>
      </c>
      <c r="H14" s="27">
        <v>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ref="H15:H16" si="0">(G15*F15)</f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51</v>
      </c>
      <c r="H18" s="33">
        <f>SUM(H6:H17)</f>
        <v>1608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1608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80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1688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211</v>
      </c>
      <c r="D27" s="74"/>
      <c r="E27" s="74"/>
      <c r="F27" s="44">
        <v>24</v>
      </c>
      <c r="G27" s="23">
        <v>51</v>
      </c>
      <c r="H27" s="42">
        <f>(F27*G27)+18.54</f>
        <v>1242.54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42">
        <v>151.65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42">
        <f>500+51.95</f>
        <v>551.95000000000005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42">
        <v>48</v>
      </c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1994.14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1688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1994.14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-306.1400000000001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1.1813625592417063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29483.41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39"/>
  <sheetViews>
    <sheetView workbookViewId="0">
      <selection activeCell="F14" sqref="F14"/>
    </sheetView>
  </sheetViews>
  <sheetFormatPr defaultColWidth="8.86328125" defaultRowHeight="14.25" x14ac:dyDescent="0.45"/>
  <sheetData>
    <row r="1" spans="2:8" ht="27.75" x14ac:dyDescent="0.75">
      <c r="B1" s="22"/>
      <c r="C1" s="22"/>
      <c r="D1" s="71" t="s">
        <v>212</v>
      </c>
      <c r="E1" s="71"/>
      <c r="F1" s="71"/>
      <c r="G1" s="71"/>
      <c r="H1" s="71"/>
    </row>
    <row r="2" spans="2:8" ht="17.649999999999999" x14ac:dyDescent="0.5">
      <c r="B2" s="22"/>
      <c r="C2" s="22"/>
      <c r="D2" s="72" t="s">
        <v>7</v>
      </c>
      <c r="E2" s="72"/>
      <c r="F2" s="72"/>
      <c r="G2" s="72"/>
      <c r="H2" s="72"/>
    </row>
    <row r="3" spans="2:8" ht="17.649999999999999" x14ac:dyDescent="0.5">
      <c r="B3" s="22"/>
      <c r="C3" s="22"/>
      <c r="D3" s="73" t="s">
        <v>213</v>
      </c>
      <c r="E3" s="73"/>
      <c r="F3" s="73"/>
      <c r="G3" s="73"/>
      <c r="H3" s="73"/>
    </row>
    <row r="4" spans="2:8" x14ac:dyDescent="0.45">
      <c r="B4" s="22"/>
      <c r="C4" s="22"/>
      <c r="D4" s="22"/>
      <c r="E4" s="22"/>
      <c r="F4" s="22"/>
      <c r="G4" s="22"/>
      <c r="H4" s="23"/>
    </row>
    <row r="5" spans="2:8" x14ac:dyDescent="0.45">
      <c r="B5" s="24" t="s">
        <v>161</v>
      </c>
      <c r="C5" s="24"/>
      <c r="D5" s="24"/>
      <c r="E5" s="24"/>
      <c r="F5" s="25" t="s">
        <v>162</v>
      </c>
      <c r="G5" s="25" t="s">
        <v>163</v>
      </c>
      <c r="H5" s="25" t="s">
        <v>164</v>
      </c>
    </row>
    <row r="6" spans="2:8" x14ac:dyDescent="0.45">
      <c r="B6" s="22"/>
      <c r="C6" s="22" t="s">
        <v>165</v>
      </c>
      <c r="D6" s="22"/>
      <c r="E6" s="22"/>
      <c r="F6" s="26">
        <v>35</v>
      </c>
      <c r="G6" s="23">
        <v>22</v>
      </c>
      <c r="H6" s="27">
        <f>(G6*F6)-70</f>
        <v>700</v>
      </c>
    </row>
    <row r="7" spans="2:8" x14ac:dyDescent="0.45">
      <c r="B7" s="22"/>
      <c r="C7" s="22" t="s">
        <v>166</v>
      </c>
      <c r="D7" s="22"/>
      <c r="E7" s="22"/>
      <c r="F7" s="26"/>
      <c r="G7" s="23">
        <v>61</v>
      </c>
      <c r="H7" s="27">
        <f>680+810+330+1080+140</f>
        <v>3040</v>
      </c>
    </row>
    <row r="8" spans="2:8" x14ac:dyDescent="0.45">
      <c r="B8" s="22"/>
      <c r="C8" s="22" t="s">
        <v>167</v>
      </c>
      <c r="D8" s="22"/>
      <c r="E8" s="22"/>
      <c r="F8" s="26">
        <v>24</v>
      </c>
      <c r="G8" s="23">
        <v>13</v>
      </c>
      <c r="H8" s="27">
        <f>(G8*F8)</f>
        <v>312</v>
      </c>
    </row>
    <row r="9" spans="2:8" x14ac:dyDescent="0.45">
      <c r="B9" s="22"/>
      <c r="C9" s="22"/>
      <c r="D9" s="22"/>
      <c r="E9" s="22"/>
      <c r="F9" s="26"/>
      <c r="G9" s="23"/>
      <c r="H9" s="27"/>
    </row>
    <row r="10" spans="2:8" x14ac:dyDescent="0.45">
      <c r="B10" s="22"/>
      <c r="C10" s="22"/>
      <c r="D10" s="22"/>
      <c r="E10" s="22"/>
      <c r="F10" s="26"/>
      <c r="G10" s="23"/>
      <c r="H10" s="27"/>
    </row>
    <row r="11" spans="2:8" x14ac:dyDescent="0.45">
      <c r="B11" s="22"/>
      <c r="C11" s="22"/>
      <c r="D11" s="22"/>
      <c r="E11" s="22"/>
      <c r="F11" s="28" t="s">
        <v>168</v>
      </c>
      <c r="G11" s="29"/>
      <c r="H11" s="27"/>
    </row>
    <row r="12" spans="2:8" x14ac:dyDescent="0.45">
      <c r="B12" s="22"/>
      <c r="C12" s="22" t="s">
        <v>169</v>
      </c>
      <c r="D12" s="22"/>
      <c r="E12" s="22"/>
      <c r="F12" s="26">
        <v>0</v>
      </c>
      <c r="G12" s="23">
        <v>10</v>
      </c>
      <c r="H12" s="27">
        <f>F12*G12</f>
        <v>0</v>
      </c>
    </row>
    <row r="13" spans="2:8" x14ac:dyDescent="0.45">
      <c r="B13" s="22"/>
      <c r="C13" s="22" t="s">
        <v>170</v>
      </c>
      <c r="D13" s="22"/>
      <c r="E13" s="22"/>
      <c r="F13" s="26">
        <v>24</v>
      </c>
      <c r="G13" s="23">
        <v>0</v>
      </c>
      <c r="H13" s="27">
        <f>F13*G13</f>
        <v>0</v>
      </c>
    </row>
    <row r="14" spans="2:8" x14ac:dyDescent="0.45">
      <c r="B14" s="22"/>
      <c r="C14" s="22" t="s">
        <v>171</v>
      </c>
      <c r="D14" s="22"/>
      <c r="E14" s="22"/>
      <c r="F14" s="26">
        <v>24</v>
      </c>
      <c r="G14" s="23">
        <v>5</v>
      </c>
      <c r="H14" s="27">
        <f t="shared" ref="H14:H16" si="0">(G14*F14)</f>
        <v>120</v>
      </c>
    </row>
    <row r="15" spans="2:8" x14ac:dyDescent="0.45">
      <c r="B15" s="22"/>
      <c r="C15" s="22" t="s">
        <v>172</v>
      </c>
      <c r="D15" s="22"/>
      <c r="E15" s="22"/>
      <c r="F15" s="26">
        <v>0</v>
      </c>
      <c r="G15" s="23">
        <v>0</v>
      </c>
      <c r="H15" s="27">
        <f t="shared" si="0"/>
        <v>0</v>
      </c>
    </row>
    <row r="16" spans="2:8" x14ac:dyDescent="0.45">
      <c r="B16" s="22"/>
      <c r="C16" s="22" t="s">
        <v>173</v>
      </c>
      <c r="D16" s="22"/>
      <c r="E16" s="22"/>
      <c r="F16" s="26">
        <v>0</v>
      </c>
      <c r="G16" s="23">
        <v>0</v>
      </c>
      <c r="H16" s="27">
        <f t="shared" si="0"/>
        <v>0</v>
      </c>
    </row>
    <row r="17" spans="2:8" x14ac:dyDescent="0.45">
      <c r="B17" s="22"/>
      <c r="C17" s="22"/>
      <c r="D17" s="22"/>
      <c r="E17" s="22"/>
      <c r="F17" s="30" t="s">
        <v>174</v>
      </c>
      <c r="G17" s="29"/>
      <c r="H17" s="27"/>
    </row>
    <row r="18" spans="2:8" x14ac:dyDescent="0.45">
      <c r="B18" s="22"/>
      <c r="C18" s="31" t="s">
        <v>175</v>
      </c>
      <c r="D18" s="31"/>
      <c r="E18" s="31"/>
      <c r="F18" s="32" t="s">
        <v>176</v>
      </c>
      <c r="G18" s="29">
        <f>SUM(G6:G17)</f>
        <v>111</v>
      </c>
      <c r="H18" s="33">
        <f>SUM(H6:H17)</f>
        <v>4172</v>
      </c>
    </row>
    <row r="19" spans="2:8" x14ac:dyDescent="0.45">
      <c r="B19" s="22"/>
      <c r="C19" s="22"/>
      <c r="D19" s="22"/>
      <c r="E19" s="22"/>
      <c r="F19" s="34"/>
      <c r="G19" s="35"/>
      <c r="H19" s="27"/>
    </row>
    <row r="20" spans="2:8" x14ac:dyDescent="0.45">
      <c r="B20" s="22"/>
      <c r="C20" s="22"/>
      <c r="D20" s="22"/>
      <c r="E20" s="22"/>
      <c r="F20" s="36"/>
      <c r="G20" s="37"/>
      <c r="H20" s="27"/>
    </row>
    <row r="21" spans="2:8" x14ac:dyDescent="0.45">
      <c r="B21" s="22"/>
      <c r="C21" s="22"/>
      <c r="D21" s="22"/>
      <c r="E21" s="31" t="s">
        <v>177</v>
      </c>
      <c r="F21" s="36"/>
      <c r="G21" s="35"/>
      <c r="H21" s="38" t="s">
        <v>178</v>
      </c>
    </row>
    <row r="22" spans="2:8" x14ac:dyDescent="0.45">
      <c r="B22" s="22"/>
      <c r="C22" s="22"/>
      <c r="D22" s="22"/>
      <c r="E22" s="39" t="s">
        <v>179</v>
      </c>
      <c r="F22" s="40"/>
      <c r="G22" s="41"/>
      <c r="H22" s="42">
        <f>H18</f>
        <v>4172</v>
      </c>
    </row>
    <row r="23" spans="2:8" x14ac:dyDescent="0.45">
      <c r="B23" s="22"/>
      <c r="C23" s="22"/>
      <c r="D23" s="22"/>
      <c r="E23" s="22" t="s">
        <v>180</v>
      </c>
      <c r="F23" s="36"/>
      <c r="G23" s="23"/>
      <c r="H23" s="27">
        <v>341</v>
      </c>
    </row>
    <row r="24" spans="2:8" x14ac:dyDescent="0.45">
      <c r="B24" s="22"/>
      <c r="C24" s="22"/>
      <c r="D24" s="22"/>
      <c r="E24" s="22" t="s">
        <v>181</v>
      </c>
      <c r="F24" s="22"/>
      <c r="G24" s="43"/>
      <c r="H24" s="33">
        <f>SUM(H22:H23)</f>
        <v>4513</v>
      </c>
    </row>
    <row r="25" spans="2:8" x14ac:dyDescent="0.45">
      <c r="B25" s="22"/>
      <c r="C25" s="22"/>
      <c r="D25" s="22"/>
      <c r="E25" s="22"/>
      <c r="F25" s="36"/>
      <c r="G25" s="23"/>
      <c r="H25" s="27"/>
    </row>
    <row r="26" spans="2:8" x14ac:dyDescent="0.45">
      <c r="B26" s="24" t="s">
        <v>182</v>
      </c>
      <c r="C26" s="24"/>
      <c r="D26" s="24"/>
      <c r="E26" s="24"/>
      <c r="F26" s="25" t="s">
        <v>162</v>
      </c>
      <c r="G26" s="25" t="s">
        <v>163</v>
      </c>
      <c r="H26" s="25" t="s">
        <v>178</v>
      </c>
    </row>
    <row r="27" spans="2:8" x14ac:dyDescent="0.45">
      <c r="B27" s="22"/>
      <c r="C27" s="74" t="s">
        <v>214</v>
      </c>
      <c r="D27" s="74"/>
      <c r="E27" s="74"/>
      <c r="F27" s="44">
        <v>24</v>
      </c>
      <c r="G27" s="23">
        <v>101</v>
      </c>
      <c r="H27" s="27">
        <f>(F27*G27)-0.33</f>
        <v>2423.67</v>
      </c>
    </row>
    <row r="28" spans="2:8" x14ac:dyDescent="0.45">
      <c r="B28" s="22"/>
      <c r="C28" s="45" t="s">
        <v>184</v>
      </c>
      <c r="D28" s="45"/>
      <c r="E28" s="45"/>
      <c r="F28" s="44"/>
      <c r="G28" s="23"/>
      <c r="H28" s="27">
        <v>123.45</v>
      </c>
    </row>
    <row r="29" spans="2:8" x14ac:dyDescent="0.45">
      <c r="B29" s="22"/>
      <c r="C29" s="22" t="s">
        <v>185</v>
      </c>
      <c r="D29" s="22"/>
      <c r="E29" s="22"/>
      <c r="F29" s="44"/>
      <c r="G29" s="23"/>
      <c r="H29" s="27">
        <v>120</v>
      </c>
    </row>
    <row r="30" spans="2:8" x14ac:dyDescent="0.45">
      <c r="B30" s="22"/>
      <c r="C30" s="22" t="s">
        <v>186</v>
      </c>
      <c r="D30" s="22"/>
      <c r="E30" s="22"/>
      <c r="F30" s="44"/>
      <c r="G30" s="23"/>
      <c r="H30" s="27"/>
    </row>
    <row r="31" spans="2:8" x14ac:dyDescent="0.45">
      <c r="B31" s="22"/>
      <c r="C31" s="31" t="s">
        <v>187</v>
      </c>
      <c r="D31" s="22"/>
      <c r="E31" s="22"/>
      <c r="F31" s="23"/>
      <c r="G31" s="23"/>
      <c r="H31" s="33">
        <f>SUM(H27:H30)</f>
        <v>2667.12</v>
      </c>
    </row>
    <row r="32" spans="2:8" x14ac:dyDescent="0.45">
      <c r="B32" s="22"/>
      <c r="C32" s="22"/>
      <c r="D32" s="22"/>
      <c r="E32" s="22"/>
      <c r="F32" s="22"/>
      <c r="G32" s="22"/>
      <c r="H32" s="46"/>
    </row>
    <row r="33" spans="2:8" ht="15.4" x14ac:dyDescent="0.45">
      <c r="B33" s="47"/>
      <c r="C33" s="47"/>
      <c r="D33" s="48" t="s">
        <v>188</v>
      </c>
      <c r="E33" s="48"/>
      <c r="F33" s="22"/>
      <c r="G33" s="47"/>
      <c r="H33" s="49">
        <f>H24</f>
        <v>4513</v>
      </c>
    </row>
    <row r="34" spans="2:8" ht="15.4" x14ac:dyDescent="0.45">
      <c r="B34" s="47"/>
      <c r="C34" s="47"/>
      <c r="D34" s="48" t="s">
        <v>189</v>
      </c>
      <c r="E34" s="48"/>
      <c r="F34" s="22"/>
      <c r="G34" s="47"/>
      <c r="H34" s="49">
        <f>H31</f>
        <v>2667.12</v>
      </c>
    </row>
    <row r="35" spans="2:8" ht="15.4" x14ac:dyDescent="0.45">
      <c r="B35" s="47"/>
      <c r="C35" s="47"/>
      <c r="D35" s="48"/>
      <c r="E35" s="48"/>
      <c r="F35" s="22"/>
      <c r="G35" s="47"/>
      <c r="H35" s="50"/>
    </row>
    <row r="36" spans="2:8" ht="15.4" x14ac:dyDescent="0.45">
      <c r="B36" s="47"/>
      <c r="C36" s="47"/>
      <c r="D36" s="48" t="s">
        <v>190</v>
      </c>
      <c r="E36" s="48"/>
      <c r="F36" s="22"/>
      <c r="G36" s="47"/>
      <c r="H36" s="51">
        <f>H33-H34</f>
        <v>1845.88</v>
      </c>
    </row>
    <row r="37" spans="2:8" ht="15.4" x14ac:dyDescent="0.45">
      <c r="B37" s="47"/>
      <c r="C37" s="47"/>
      <c r="D37" s="48" t="s">
        <v>191</v>
      </c>
      <c r="E37" s="48"/>
      <c r="F37" s="22"/>
      <c r="G37" s="47"/>
      <c r="H37" s="52">
        <f>SUM(H34/H33)</f>
        <v>0.59098604032794144</v>
      </c>
    </row>
    <row r="38" spans="2:8" ht="15.4" x14ac:dyDescent="0.45">
      <c r="B38" s="47"/>
      <c r="C38" s="47"/>
      <c r="D38" s="48"/>
      <c r="E38" s="48"/>
      <c r="F38" s="22"/>
      <c r="G38" s="47"/>
      <c r="H38" s="53"/>
    </row>
    <row r="39" spans="2:8" ht="17.649999999999999" x14ac:dyDescent="0.5">
      <c r="B39" s="54"/>
      <c r="C39" s="54" t="s">
        <v>192</v>
      </c>
      <c r="D39" s="54"/>
      <c r="E39" s="54"/>
      <c r="F39" s="75">
        <v>29395.43</v>
      </c>
      <c r="G39" s="75"/>
      <c r="H39" s="55"/>
    </row>
  </sheetData>
  <mergeCells count="5">
    <mergeCell ref="D1:H1"/>
    <mergeCell ref="D2:H2"/>
    <mergeCell ref="D3:H3"/>
    <mergeCell ref="C27:E27"/>
    <mergeCell ref="F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2016</vt:lpstr>
      <vt:lpstr>December Analysis</vt:lpstr>
      <vt:lpstr>November Analysis</vt:lpstr>
      <vt:lpstr>Sheet1</vt:lpstr>
      <vt:lpstr>October Analysis</vt:lpstr>
      <vt:lpstr>September Analysis</vt:lpstr>
      <vt:lpstr>August Analysis</vt:lpstr>
      <vt:lpstr>7- July Analysis</vt:lpstr>
      <vt:lpstr>6- June Analysis</vt:lpstr>
      <vt:lpstr>5- May Analysis</vt:lpstr>
      <vt:lpstr>Sheet2</vt:lpstr>
      <vt:lpstr>4- April Analysis</vt:lpstr>
      <vt:lpstr>3-March Analysis</vt:lpstr>
      <vt:lpstr>2-February Analysis</vt:lpstr>
      <vt:lpstr>1-January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Ann M. Grant</dc:creator>
  <cp:keywords/>
  <dc:description/>
  <cp:lastModifiedBy>NACE User</cp:lastModifiedBy>
  <cp:revision/>
  <dcterms:created xsi:type="dcterms:W3CDTF">2016-02-03T13:59:08Z</dcterms:created>
  <dcterms:modified xsi:type="dcterms:W3CDTF">2018-10-22T22:13:38Z</dcterms:modified>
  <cp:category/>
  <cp:contentStatus/>
</cp:coreProperties>
</file>